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narlax.sharepoint.com/sites/Administration/Shared Documents/Grænt bókhald - Green accounting/2021/"/>
    </mc:Choice>
  </mc:AlternateContent>
  <xr:revisionPtr revIDLastSave="0" documentId="8_{FFEAD2E4-709F-4999-9A4E-639C8FFAE20F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Útstreymisbókhald Emission 2021" sheetId="5" r:id="rId1"/>
    <sheet name="A.fjordur 2021" sheetId="3" r:id="rId2"/>
    <sheet name="Fossfjordur 2021" sheetId="2" r:id="rId3"/>
    <sheet name="P&amp;T 2021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5" l="1"/>
  <c r="G51" i="5"/>
  <c r="G50" i="5"/>
  <c r="F2" i="4"/>
  <c r="K2" i="4"/>
  <c r="L2" i="4"/>
  <c r="M2" i="4"/>
  <c r="M6" i="4" s="1"/>
  <c r="N2" i="4"/>
  <c r="O2" i="4"/>
  <c r="F3" i="4"/>
  <c r="K3" i="4"/>
  <c r="L3" i="4"/>
  <c r="M3" i="4"/>
  <c r="P3" i="4" s="1"/>
  <c r="Q3" i="4" s="1"/>
  <c r="N3" i="4"/>
  <c r="O3" i="4"/>
  <c r="F4" i="4"/>
  <c r="C6" i="4"/>
  <c r="I6" i="4"/>
  <c r="K6" i="4"/>
  <c r="L6" i="4"/>
  <c r="N6" i="4"/>
  <c r="O6" i="4"/>
  <c r="R6" i="4"/>
  <c r="S6" i="4"/>
  <c r="I13" i="3"/>
  <c r="O12" i="3"/>
  <c r="M12" i="3"/>
  <c r="P12" i="3" s="1"/>
  <c r="Q12" i="3" s="1"/>
  <c r="K12" i="3"/>
  <c r="F12" i="3"/>
  <c r="N12" i="3" s="1"/>
  <c r="O11" i="3"/>
  <c r="M11" i="3"/>
  <c r="P11" i="3" s="1"/>
  <c r="Q11" i="3" s="1"/>
  <c r="L11" i="3"/>
  <c r="R11" i="3" s="1"/>
  <c r="S11" i="3" s="1"/>
  <c r="K11" i="3"/>
  <c r="F11" i="3"/>
  <c r="N11" i="3" s="1"/>
  <c r="M10" i="3"/>
  <c r="F10" i="3"/>
  <c r="C10" i="3"/>
  <c r="N10" i="3" s="1"/>
  <c r="L9" i="3"/>
  <c r="F9" i="3"/>
  <c r="C9" i="3"/>
  <c r="M9" i="3" s="1"/>
  <c r="O8" i="3"/>
  <c r="L8" i="3"/>
  <c r="K8" i="3"/>
  <c r="F8" i="3"/>
  <c r="C8" i="3"/>
  <c r="N8" i="3" s="1"/>
  <c r="O7" i="3"/>
  <c r="N7" i="3"/>
  <c r="F7" i="3"/>
  <c r="L7" i="3" s="1"/>
  <c r="R7" i="3" s="1"/>
  <c r="S7" i="3" s="1"/>
  <c r="C7" i="3"/>
  <c r="K7" i="3" s="1"/>
  <c r="F6" i="3"/>
  <c r="C6" i="3"/>
  <c r="N6" i="3" s="1"/>
  <c r="O5" i="3"/>
  <c r="M5" i="3"/>
  <c r="P5" i="3" s="1"/>
  <c r="Q5" i="3" s="1"/>
  <c r="L5" i="3"/>
  <c r="K5" i="3"/>
  <c r="F5" i="3"/>
  <c r="N5" i="3" s="1"/>
  <c r="C5" i="3"/>
  <c r="O4" i="3"/>
  <c r="P4" i="3" s="1"/>
  <c r="Q4" i="3" s="1"/>
  <c r="M4" i="3"/>
  <c r="K4" i="3"/>
  <c r="F4" i="3"/>
  <c r="C4" i="3"/>
  <c r="L4" i="3" s="1"/>
  <c r="K3" i="3"/>
  <c r="F3" i="3"/>
  <c r="N3" i="3" s="1"/>
  <c r="C3" i="3"/>
  <c r="O3" i="3" s="1"/>
  <c r="M2" i="3"/>
  <c r="F2" i="3"/>
  <c r="C2" i="3"/>
  <c r="C13" i="3" s="1"/>
  <c r="F2" i="2"/>
  <c r="K2" i="2"/>
  <c r="L2" i="2"/>
  <c r="L4" i="2" s="1"/>
  <c r="M2" i="2"/>
  <c r="M4" i="2" s="1"/>
  <c r="N2" i="2"/>
  <c r="O2" i="2"/>
  <c r="P2" i="2"/>
  <c r="Q2" i="2" s="1"/>
  <c r="C4" i="2"/>
  <c r="I4" i="2"/>
  <c r="K4" i="2"/>
  <c r="N4" i="2"/>
  <c r="O4" i="2"/>
  <c r="R4" i="2"/>
  <c r="S4" i="2"/>
  <c r="P2" i="4" l="1"/>
  <c r="R4" i="3"/>
  <c r="S4" i="3" s="1"/>
  <c r="R5" i="3"/>
  <c r="S5" i="3" s="1"/>
  <c r="R8" i="3"/>
  <c r="S8" i="3" s="1"/>
  <c r="K2" i="3"/>
  <c r="O6" i="3"/>
  <c r="N9" i="3"/>
  <c r="R9" i="3" s="1"/>
  <c r="S9" i="3" s="1"/>
  <c r="K10" i="3"/>
  <c r="L2" i="3"/>
  <c r="N4" i="3"/>
  <c r="M7" i="3"/>
  <c r="P7" i="3" s="1"/>
  <c r="Q7" i="3" s="1"/>
  <c r="O9" i="3"/>
  <c r="P9" i="3" s="1"/>
  <c r="Q9" i="3" s="1"/>
  <c r="L10" i="3"/>
  <c r="R10" i="3" s="1"/>
  <c r="S10" i="3" s="1"/>
  <c r="M13" i="3"/>
  <c r="O2" i="3"/>
  <c r="O13" i="3" s="1"/>
  <c r="L3" i="3"/>
  <c r="R3" i="3" s="1"/>
  <c r="S3" i="3" s="1"/>
  <c r="K6" i="3"/>
  <c r="M8" i="3"/>
  <c r="P8" i="3" s="1"/>
  <c r="Q8" i="3" s="1"/>
  <c r="O10" i="3"/>
  <c r="P10" i="3" s="1"/>
  <c r="Q10" i="3" s="1"/>
  <c r="N2" i="3"/>
  <c r="M3" i="3"/>
  <c r="P3" i="3" s="1"/>
  <c r="Q3" i="3" s="1"/>
  <c r="L6" i="3"/>
  <c r="R6" i="3" s="1"/>
  <c r="S6" i="3" s="1"/>
  <c r="K9" i="3"/>
  <c r="L12" i="3"/>
  <c r="R12" i="3" s="1"/>
  <c r="S12" i="3" s="1"/>
  <c r="M6" i="3"/>
  <c r="P4" i="2"/>
  <c r="P6" i="4" l="1"/>
  <c r="Q6" i="4" s="1"/>
  <c r="Q2" i="4"/>
  <c r="P6" i="3"/>
  <c r="Q6" i="3" s="1"/>
  <c r="K13" i="3"/>
  <c r="P2" i="3"/>
  <c r="N13" i="3"/>
  <c r="R2" i="3"/>
  <c r="L13" i="3"/>
  <c r="Q4" i="2"/>
  <c r="R13" i="3" l="1"/>
  <c r="S13" i="3" s="1"/>
  <c r="S2" i="3"/>
  <c r="P13" i="3"/>
  <c r="Q13" i="3" s="1"/>
  <c r="Q2" i="3"/>
</calcChain>
</file>

<file path=xl/sharedStrings.xml><?xml version="1.0" encoding="utf-8"?>
<sst xmlns="http://schemas.openxmlformats.org/spreadsheetml/2006/main" count="209" uniqueCount="139">
  <si>
    <t>Samtals</t>
  </si>
  <si>
    <t>Fossfjörður</t>
  </si>
  <si>
    <t>Total N</t>
  </si>
  <si>
    <t>kg P/tonn</t>
  </si>
  <si>
    <t>Total P</t>
  </si>
  <si>
    <t>DOP [kg]</t>
  </si>
  <si>
    <t>DON [kg]</t>
  </si>
  <si>
    <t>POP [kg]</t>
  </si>
  <si>
    <t>PON [kg]</t>
  </si>
  <si>
    <t>POC [kg]</t>
  </si>
  <si>
    <t>Framleiðsla/lífmassaaukning [tonn]</t>
  </si>
  <si>
    <t>Hlutfall C %</t>
  </si>
  <si>
    <t>Hlutfall P %</t>
  </si>
  <si>
    <t>Hlutfall N %</t>
  </si>
  <si>
    <t>Hlutfall prótín %</t>
  </si>
  <si>
    <t>Þurrvigt fóðurs %</t>
  </si>
  <si>
    <t>Magn fóðurs [kg]</t>
  </si>
  <si>
    <t>Týpa fóðurs</t>
  </si>
  <si>
    <t>Fóðurframleiðandi</t>
  </si>
  <si>
    <t>Supreme plus</t>
  </si>
  <si>
    <t>Skretting</t>
  </si>
  <si>
    <t>Express 2500</t>
  </si>
  <si>
    <t>Protec 1200</t>
  </si>
  <si>
    <t>Protec 2500</t>
  </si>
  <si>
    <t>Protec 300</t>
  </si>
  <si>
    <t>Protec 600</t>
  </si>
  <si>
    <t>Prime 300</t>
  </si>
  <si>
    <t>Prime 600</t>
  </si>
  <si>
    <t>Express 1200</t>
  </si>
  <si>
    <t>Prime 150</t>
  </si>
  <si>
    <t>Ewos</t>
  </si>
  <si>
    <t>Rapid HP</t>
  </si>
  <si>
    <t>Eyri</t>
  </si>
  <si>
    <t>Laugardalur</t>
  </si>
  <si>
    <t>Viðmiðunarár</t>
  </si>
  <si>
    <t>Upplýsingar um rekstraeininguna</t>
  </si>
  <si>
    <t>Heiti móðurfélags</t>
  </si>
  <si>
    <t>Arnarlax ehf</t>
  </si>
  <si>
    <t>heiti rekstraeiningar</t>
  </si>
  <si>
    <t xml:space="preserve">Arnarlax   </t>
  </si>
  <si>
    <t>Kennitala rekstraeiningar</t>
  </si>
  <si>
    <t>heimilisfang</t>
  </si>
  <si>
    <t>Strandgata 1</t>
  </si>
  <si>
    <t>Bær/staður</t>
  </si>
  <si>
    <t>Bíldudalur</t>
  </si>
  <si>
    <t>Póstnúmer</t>
  </si>
  <si>
    <t>Land</t>
  </si>
  <si>
    <t>Staðsetningarhnit</t>
  </si>
  <si>
    <t>Haganes (FE-1105)</t>
  </si>
  <si>
    <t>Foss (FE-1087)</t>
  </si>
  <si>
    <t>Hringsdalur (FE-1105)</t>
  </si>
  <si>
    <t>1. 65°40.210'N 23°32.730'W</t>
  </si>
  <si>
    <t>1. 65°38.100'N 23°32.872'W</t>
  </si>
  <si>
    <t xml:space="preserve">1. 65°44.460'N 23°47.470'W </t>
  </si>
  <si>
    <t>2. 65°40.720'N 23°33.770'W</t>
  </si>
  <si>
    <t>2. 65°37.957'N 23°32.282'W</t>
  </si>
  <si>
    <t xml:space="preserve">2. 65°44.770'N 23°46.860'W </t>
  </si>
  <si>
    <t>3. 65°41.240'N 23°33.440'W</t>
  </si>
  <si>
    <t>3. 65°37.577'N 23°32.722'W</t>
  </si>
  <si>
    <t xml:space="preserve">3. 65°44.190'N 23°45.060'W </t>
  </si>
  <si>
    <t>4. 65°41.030'N 23°33.810'W</t>
  </si>
  <si>
    <t>4. 65°37.153'N 23°32.633'W</t>
  </si>
  <si>
    <t xml:space="preserve">4. 65°43.920'N 23°45.470'W </t>
  </si>
  <si>
    <t>Laugardalur (FE-1144)</t>
  </si>
  <si>
    <t>5. 65°37.107'N 23°33.283'W</t>
  </si>
  <si>
    <t>1. 65°39.277'N 23°56.974'W</t>
  </si>
  <si>
    <t>6. 65°37.617'N 23°33.362'W</t>
  </si>
  <si>
    <t>2. 65°39.581'N 23°56.524'W</t>
  </si>
  <si>
    <t>Eyri (FE-1144)</t>
  </si>
  <si>
    <t>3. 65°38.652'N 23°53.684'W</t>
  </si>
  <si>
    <t>1. 65°34.790'N 23°59.260'W</t>
  </si>
  <si>
    <t>4. 65°38.409'N 23°54.134'W</t>
  </si>
  <si>
    <t>2. 65°35.100'N 23°58.590'W</t>
  </si>
  <si>
    <t>Steinanes (FE-1105)</t>
  </si>
  <si>
    <t>3. 65°34.730'N 23°57.820'W</t>
  </si>
  <si>
    <t>1. 65°40,890'N 23°28,000'W</t>
  </si>
  <si>
    <t>4. 65°34.870'N 23°58.230'W</t>
  </si>
  <si>
    <t>2. 65°40,610'N 23°28,420'W</t>
  </si>
  <si>
    <t>Tjaldanes (FE-1105)</t>
  </si>
  <si>
    <t>3. 65°40,480'N 23°27,680'W</t>
  </si>
  <si>
    <t>1. 65°45.420'N 23°33.620'W</t>
  </si>
  <si>
    <t>4. 65°40,650'N 23°27,320'W</t>
  </si>
  <si>
    <t>2. 65°45.160'N 23°31.750'W</t>
  </si>
  <si>
    <t>3. 65°44.600'N 23°32.090'W</t>
  </si>
  <si>
    <t>4. 65°44.950'N 23°34.080'W</t>
  </si>
  <si>
    <t>Vatnasviðsumdæmi</t>
  </si>
  <si>
    <t>Kóði atvinnugreinaflokkunar Evrópubandalaganna (4 tölustafir)</t>
  </si>
  <si>
    <t>0321</t>
  </si>
  <si>
    <t>Mikilvægasta atvinnustarfsemin, skv. kóða atvinnugreinaflokkunar</t>
  </si>
  <si>
    <t>Valkvæðar upplýsingar</t>
  </si>
  <si>
    <t>Framleiðslumagn í sjó (kg)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</si>
  <si>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</si>
  <si>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</si>
  <si>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</si>
  <si>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</si>
  <si>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</si>
  <si>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</si>
  <si>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</si>
  <si>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</si>
  <si>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7B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</si>
  <si>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</si>
  <si>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</si>
  <si>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</si>
  <si>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</si>
  <si>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</si>
  <si>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</si>
  <si>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</si>
  <si>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</si>
  <si>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</si>
  <si>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</si>
  <si>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</si>
  <si>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</si>
  <si>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Heildar köfnunarefni</t>
  </si>
  <si>
    <t>C</t>
  </si>
  <si>
    <t>Skv. skjali frá UST um útreikning á losun frá fiskeldi</t>
  </si>
  <si>
    <t>Heildar fosfór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</si>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</sst>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.00_-;\-* #,##0.00_-;_-* &quot;-&quot;_-;_-@_-"/>
    <numFmt numFmtId="166" formatCode="0.0%"/>
    <numFmt numFmtId="167" formatCode="_-* #,##0.000_-;\-* #,##0.000_-;_-* &quot;-&quot;_-;_-@_-"/>
    <numFmt numFmtId="168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Protection="1">
      <protection locked="0"/>
    </xf>
    <xf numFmtId="43" fontId="0" fillId="0" borderId="0" xfId="0" applyNumberFormat="1"/>
    <xf numFmtId="164" fontId="0" fillId="0" borderId="0" xfId="0" applyNumberFormat="1"/>
    <xf numFmtId="164" fontId="6" fillId="3" borderId="2" xfId="1" applyNumberFormat="1" applyFont="1" applyFill="1" applyBorder="1" applyAlignment="1">
      <alignment horizontal="center"/>
    </xf>
    <xf numFmtId="41" fontId="6" fillId="3" borderId="2" xfId="1" applyFont="1" applyFill="1" applyBorder="1" applyAlignment="1">
      <alignment horizontal="center"/>
    </xf>
    <xf numFmtId="0" fontId="1" fillId="4" borderId="0" xfId="3"/>
    <xf numFmtId="41" fontId="7" fillId="4" borderId="0" xfId="3" applyNumberFormat="1" applyFont="1"/>
    <xf numFmtId="0" fontId="1" fillId="4" borderId="0" xfId="3" applyProtection="1">
      <protection locked="0"/>
    </xf>
    <xf numFmtId="0" fontId="7" fillId="4" borderId="0" xfId="3" applyFont="1" applyBorder="1"/>
    <xf numFmtId="41" fontId="0" fillId="0" borderId="0" xfId="1" applyFont="1" applyAlignment="1">
      <alignment horizontal="center"/>
    </xf>
    <xf numFmtId="164" fontId="8" fillId="3" borderId="3" xfId="1" applyNumberFormat="1" applyFont="1" applyFill="1" applyBorder="1" applyAlignment="1">
      <alignment horizontal="center"/>
    </xf>
    <xf numFmtId="41" fontId="0" fillId="0" borderId="0" xfId="0" applyNumberFormat="1"/>
    <xf numFmtId="165" fontId="8" fillId="3" borderId="3" xfId="1" applyNumberFormat="1" applyFont="1" applyFill="1" applyBorder="1" applyAlignment="1">
      <alignment horizontal="center"/>
    </xf>
    <xf numFmtId="165" fontId="8" fillId="3" borderId="2" xfId="1" applyNumberFormat="1" applyFont="1" applyFill="1" applyBorder="1" applyAlignment="1">
      <alignment horizontal="center"/>
    </xf>
    <xf numFmtId="0" fontId="1" fillId="4" borderId="0" xfId="3" applyAlignment="1">
      <alignment horizontal="center"/>
    </xf>
    <xf numFmtId="41" fontId="2" fillId="2" borderId="0" xfId="1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6" fontId="2" fillId="2" borderId="1" xfId="2" applyNumberFormat="1" applyFont="1" applyFill="1" applyBorder="1" applyAlignment="1">
      <alignment horizontal="center"/>
    </xf>
    <xf numFmtId="10" fontId="8" fillId="3" borderId="2" xfId="2" applyNumberFormat="1" applyFont="1" applyFill="1" applyBorder="1" applyAlignment="1">
      <alignment horizontal="center"/>
    </xf>
    <xf numFmtId="41" fontId="2" fillId="2" borderId="1" xfId="1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5" xfId="0" applyBorder="1"/>
    <xf numFmtId="0" fontId="0" fillId="4" borderId="0" xfId="3" applyFont="1"/>
    <xf numFmtId="164" fontId="2" fillId="2" borderId="6" xfId="1" applyNumberFormat="1" applyFont="1" applyFill="1" applyBorder="1" applyAlignment="1">
      <alignment horizontal="center"/>
    </xf>
    <xf numFmtId="9" fontId="2" fillId="2" borderId="6" xfId="2" applyFont="1" applyFill="1" applyBorder="1" applyAlignment="1">
      <alignment horizontal="center"/>
    </xf>
    <xf numFmtId="166" fontId="2" fillId="2" borderId="6" xfId="2" applyNumberFormat="1" applyFont="1" applyFill="1" applyBorder="1" applyAlignment="1">
      <alignment horizontal="center"/>
    </xf>
    <xf numFmtId="10" fontId="8" fillId="3" borderId="6" xfId="2" applyNumberFormat="1" applyFont="1" applyFill="1" applyBorder="1" applyAlignment="1">
      <alignment horizontal="center"/>
    </xf>
    <xf numFmtId="10" fontId="2" fillId="2" borderId="6" xfId="2" applyNumberFormat="1" applyFont="1" applyFill="1" applyBorder="1" applyAlignment="1">
      <alignment horizontal="center"/>
    </xf>
    <xf numFmtId="167" fontId="2" fillId="2" borderId="6" xfId="1" applyNumberFormat="1" applyFont="1" applyFill="1" applyBorder="1" applyAlignment="1">
      <alignment horizontal="center"/>
    </xf>
    <xf numFmtId="41" fontId="8" fillId="3" borderId="3" xfId="1" applyFont="1" applyFill="1" applyBorder="1" applyAlignment="1">
      <alignment horizontal="center"/>
    </xf>
    <xf numFmtId="165" fontId="8" fillId="3" borderId="3" xfId="1" applyNumberFormat="1" applyFont="1" applyFill="1" applyBorder="1" applyAlignment="1">
      <alignment horizontal="left"/>
    </xf>
    <xf numFmtId="164" fontId="3" fillId="3" borderId="3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1" fontId="8" fillId="3" borderId="2" xfId="1" applyFont="1" applyFill="1" applyBorder="1" applyAlignment="1">
      <alignment horizontal="center"/>
    </xf>
    <xf numFmtId="41" fontId="2" fillId="2" borderId="6" xfId="1" applyFont="1" applyFill="1" applyBorder="1" applyAlignment="1">
      <alignment horizontal="center"/>
    </xf>
    <xf numFmtId="167" fontId="2" fillId="2" borderId="0" xfId="1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Protection="1">
      <protection hidden="1"/>
    </xf>
    <xf numFmtId="0" fontId="0" fillId="0" borderId="0" xfId="0" applyAlignment="1">
      <alignment horizontal="center" vertical="top"/>
    </xf>
    <xf numFmtId="0" fontId="10" fillId="0" borderId="0" xfId="0" applyFont="1" applyProtection="1">
      <protection hidden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168" fontId="10" fillId="0" borderId="6" xfId="0" applyNumberFormat="1" applyFont="1" applyBorder="1"/>
    <xf numFmtId="3" fontId="10" fillId="0" borderId="6" xfId="0" applyNumberFormat="1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wrapText="1"/>
    </xf>
    <xf numFmtId="0" fontId="0" fillId="0" borderId="0" xfId="0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0" xfId="0" applyAlignment="1">
      <alignment horizontal="left"/>
    </xf>
    <xf numFmtId="0" fontId="5" fillId="0" borderId="11" xfId="4" applyBorder="1" applyAlignment="1" applyProtection="1">
      <alignment horizontal="left"/>
    </xf>
    <xf numFmtId="0" fontId="0" fillId="0" borderId="11" xfId="0" applyBorder="1"/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3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4" fontId="12" fillId="3" borderId="2" xfId="1" applyNumberFormat="1" applyFont="1" applyFill="1" applyBorder="1" applyAlignment="1">
      <alignment horizontal="center"/>
    </xf>
  </cellXfs>
  <cellStyles count="5">
    <cellStyle name="20% - Accent3" xfId="3" builtinId="38"/>
    <cellStyle name="Comma [0]" xfId="1" builtinId="6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dministration/Shared%20Documents/Gr&#230;nt%20b&#243;khald%20-%20Green%20accounting/&#218;treikningar%20&#225;%20losun%20fr&#225;%20fiskeldi%20Alax%20all%20sites%202020-2021%20U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narlax all sites 2020"/>
      <sheetName val="A.fjordur 2020"/>
      <sheetName val="P&amp;T 2020"/>
      <sheetName val="Fossfjordur 2020"/>
      <sheetName val="A.fjordur 2021"/>
      <sheetName val="P&amp;T 2021"/>
      <sheetName val="Fossfjordur 2021"/>
      <sheetName val="Útstreymisbókhald Emission 2021"/>
    </sheetNames>
    <sheetDataSet>
      <sheetData sheetId="0"/>
      <sheetData sheetId="1"/>
      <sheetData sheetId="2"/>
      <sheetData sheetId="3"/>
      <sheetData sheetId="4">
        <row r="13">
          <cell r="I13">
            <v>10161</v>
          </cell>
          <cell r="L13">
            <v>120628.43596800001</v>
          </cell>
          <cell r="N13">
            <v>386010.99509759998</v>
          </cell>
          <cell r="P13">
            <v>79609.646995200004</v>
          </cell>
        </row>
      </sheetData>
      <sheetData sheetId="5">
        <row r="6">
          <cell r="I6">
            <v>11444</v>
          </cell>
          <cell r="L6">
            <v>67504.269312000004</v>
          </cell>
          <cell r="N6">
            <v>216013.66179839999</v>
          </cell>
          <cell r="P6">
            <v>49221.863040000004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opLeftCell="A45" workbookViewId="0">
      <selection activeCell="E32" sqref="E32:H32"/>
    </sheetView>
  </sheetViews>
  <sheetFormatPr defaultRowHeight="15" x14ac:dyDescent="0.25"/>
  <cols>
    <col min="7" max="7" width="14" bestFit="1" customWidth="1"/>
    <col min="8" max="8" width="21.5703125" bestFit="1" customWidth="1"/>
  </cols>
  <sheetData>
    <row r="1" spans="1:8" x14ac:dyDescent="0.25">
      <c r="A1" s="106" t="s">
        <v>34</v>
      </c>
      <c r="B1" s="107"/>
      <c r="C1" s="107"/>
      <c r="D1" s="107"/>
      <c r="E1" s="90"/>
      <c r="F1" s="90"/>
      <c r="G1" s="90"/>
      <c r="H1" s="90"/>
    </row>
    <row r="2" spans="1:8" x14ac:dyDescent="0.25">
      <c r="A2" s="106" t="s">
        <v>35</v>
      </c>
      <c r="B2" s="107"/>
      <c r="C2" s="107"/>
      <c r="D2" s="107"/>
      <c r="E2" s="90">
        <v>2021</v>
      </c>
      <c r="F2" s="90"/>
      <c r="G2" s="90"/>
      <c r="H2" s="90"/>
    </row>
    <row r="3" spans="1:8" x14ac:dyDescent="0.25">
      <c r="A3" s="108" t="s">
        <v>36</v>
      </c>
      <c r="B3" s="109"/>
      <c r="C3" s="109"/>
      <c r="D3" s="109"/>
      <c r="E3" s="99" t="s">
        <v>37</v>
      </c>
      <c r="F3" s="99"/>
      <c r="G3" s="99"/>
      <c r="H3" s="99"/>
    </row>
    <row r="4" spans="1:8" x14ac:dyDescent="0.25">
      <c r="A4" s="101" t="s">
        <v>38</v>
      </c>
      <c r="B4" s="102"/>
      <c r="C4" s="102"/>
      <c r="D4" s="102"/>
      <c r="E4" s="96" t="s">
        <v>39</v>
      </c>
      <c r="F4" s="96"/>
      <c r="G4" s="96"/>
      <c r="H4" s="96"/>
    </row>
    <row r="5" spans="1:8" x14ac:dyDescent="0.25">
      <c r="A5" s="101" t="s">
        <v>40</v>
      </c>
      <c r="B5" s="102"/>
      <c r="C5" s="102"/>
      <c r="D5" s="102"/>
      <c r="E5" s="96">
        <v>5803100600</v>
      </c>
      <c r="F5" s="96"/>
      <c r="G5" s="96"/>
      <c r="H5" s="96"/>
    </row>
    <row r="6" spans="1:8" x14ac:dyDescent="0.25">
      <c r="A6" s="101" t="s">
        <v>41</v>
      </c>
      <c r="B6" s="102"/>
      <c r="C6" s="102"/>
      <c r="D6" s="102"/>
      <c r="E6" s="96" t="s">
        <v>42</v>
      </c>
      <c r="F6" s="96"/>
      <c r="G6" s="96"/>
      <c r="H6" s="96"/>
    </row>
    <row r="7" spans="1:8" x14ac:dyDescent="0.25">
      <c r="A7" s="101" t="s">
        <v>43</v>
      </c>
      <c r="B7" s="102"/>
      <c r="C7" s="102"/>
      <c r="D7" s="102"/>
      <c r="E7" s="96" t="s">
        <v>44</v>
      </c>
      <c r="F7" s="96"/>
      <c r="G7" s="96"/>
      <c r="H7" s="96"/>
    </row>
    <row r="8" spans="1:8" x14ac:dyDescent="0.25">
      <c r="A8" s="101" t="s">
        <v>45</v>
      </c>
      <c r="B8" s="102"/>
      <c r="C8" s="102"/>
      <c r="D8" s="102"/>
      <c r="E8" s="96">
        <v>465</v>
      </c>
      <c r="F8" s="96"/>
      <c r="G8" s="96"/>
      <c r="H8" s="96"/>
    </row>
    <row r="9" spans="1:8" x14ac:dyDescent="0.25">
      <c r="A9" s="101" t="s">
        <v>46</v>
      </c>
      <c r="B9" s="102"/>
      <c r="C9" s="102"/>
      <c r="D9" s="102"/>
      <c r="E9" s="96" t="s">
        <v>44</v>
      </c>
      <c r="F9" s="96"/>
      <c r="G9" s="96"/>
      <c r="H9" s="96"/>
    </row>
    <row r="10" spans="1:8" x14ac:dyDescent="0.25">
      <c r="A10" s="102" t="s">
        <v>47</v>
      </c>
      <c r="B10" s="102"/>
      <c r="C10" s="102"/>
      <c r="D10" s="102"/>
      <c r="E10" s="39" t="s">
        <v>48</v>
      </c>
      <c r="F10" s="40"/>
      <c r="H10" s="39" t="s">
        <v>49</v>
      </c>
    </row>
    <row r="11" spans="1:8" x14ac:dyDescent="0.25">
      <c r="A11" s="41" t="s">
        <v>50</v>
      </c>
      <c r="B11" s="40"/>
      <c r="C11" s="42"/>
      <c r="D11" s="42"/>
      <c r="E11" s="40" t="s">
        <v>51</v>
      </c>
      <c r="F11" s="40"/>
      <c r="H11" s="40" t="s">
        <v>52</v>
      </c>
    </row>
    <row r="12" spans="1:8" x14ac:dyDescent="0.25">
      <c r="A12" s="43" t="s">
        <v>53</v>
      </c>
      <c r="B12" s="40"/>
      <c r="C12" s="42"/>
      <c r="D12" s="42"/>
      <c r="E12" s="40" t="s">
        <v>54</v>
      </c>
      <c r="F12" s="40"/>
      <c r="H12" s="40" t="s">
        <v>55</v>
      </c>
    </row>
    <row r="13" spans="1:8" x14ac:dyDescent="0.25">
      <c r="A13" s="43" t="s">
        <v>56</v>
      </c>
      <c r="B13" s="40"/>
      <c r="C13" s="42"/>
      <c r="D13" s="42"/>
      <c r="E13" s="40" t="s">
        <v>57</v>
      </c>
      <c r="F13" s="40"/>
      <c r="H13" s="40" t="s">
        <v>58</v>
      </c>
    </row>
    <row r="14" spans="1:8" x14ac:dyDescent="0.25">
      <c r="A14" s="40" t="s">
        <v>59</v>
      </c>
      <c r="B14" s="40"/>
      <c r="C14" s="42"/>
      <c r="D14" s="42"/>
      <c r="E14" s="40" t="s">
        <v>60</v>
      </c>
      <c r="F14" s="40"/>
      <c r="H14" s="40" t="s">
        <v>61</v>
      </c>
    </row>
    <row r="15" spans="1:8" x14ac:dyDescent="0.25">
      <c r="A15" s="43" t="s">
        <v>62</v>
      </c>
      <c r="B15" s="40"/>
      <c r="C15" s="42"/>
      <c r="D15" s="42"/>
      <c r="E15" s="39" t="s">
        <v>63</v>
      </c>
      <c r="F15" s="40"/>
      <c r="H15" s="40" t="s">
        <v>64</v>
      </c>
    </row>
    <row r="16" spans="1:8" x14ac:dyDescent="0.25">
      <c r="A16" s="42"/>
      <c r="B16" s="42"/>
      <c r="C16" s="42"/>
      <c r="D16" s="42"/>
      <c r="E16" s="40" t="s">
        <v>65</v>
      </c>
      <c r="F16" s="40"/>
      <c r="H16" s="40" t="s">
        <v>66</v>
      </c>
    </row>
    <row r="17" spans="1:8" x14ac:dyDescent="0.25">
      <c r="A17" s="42"/>
      <c r="B17" s="42"/>
      <c r="C17" s="42"/>
      <c r="D17" s="42"/>
      <c r="E17" s="40" t="s">
        <v>67</v>
      </c>
      <c r="F17" s="40"/>
      <c r="H17" s="39" t="s">
        <v>68</v>
      </c>
    </row>
    <row r="18" spans="1:8" x14ac:dyDescent="0.25">
      <c r="A18" s="42"/>
      <c r="B18" s="42"/>
      <c r="C18" s="42"/>
      <c r="D18" s="42"/>
      <c r="E18" s="40" t="s">
        <v>69</v>
      </c>
      <c r="F18" s="40"/>
      <c r="H18" s="40" t="s">
        <v>70</v>
      </c>
    </row>
    <row r="19" spans="1:8" x14ac:dyDescent="0.25">
      <c r="A19" s="42"/>
      <c r="B19" s="42"/>
      <c r="C19" s="42"/>
      <c r="D19" s="42"/>
      <c r="E19" s="40" t="s">
        <v>71</v>
      </c>
      <c r="F19" s="40"/>
      <c r="H19" s="40" t="s">
        <v>72</v>
      </c>
    </row>
    <row r="20" spans="1:8" x14ac:dyDescent="0.25">
      <c r="A20" s="42"/>
      <c r="B20" s="42"/>
      <c r="C20" s="42"/>
      <c r="D20" s="42"/>
      <c r="E20" s="41" t="s">
        <v>73</v>
      </c>
      <c r="F20" s="40"/>
      <c r="H20" s="40" t="s">
        <v>74</v>
      </c>
    </row>
    <row r="21" spans="1:8" x14ac:dyDescent="0.25">
      <c r="A21" s="42"/>
      <c r="B21" s="42"/>
      <c r="C21" s="42"/>
      <c r="D21" s="42"/>
      <c r="E21" s="40" t="s">
        <v>75</v>
      </c>
      <c r="F21" s="40"/>
      <c r="H21" s="40" t="s">
        <v>76</v>
      </c>
    </row>
    <row r="22" spans="1:8" x14ac:dyDescent="0.25">
      <c r="A22" s="42"/>
      <c r="B22" s="42"/>
      <c r="C22" s="42"/>
      <c r="D22" s="42"/>
      <c r="E22" s="40" t="s">
        <v>77</v>
      </c>
      <c r="F22" s="40"/>
      <c r="H22" s="39" t="s">
        <v>78</v>
      </c>
    </row>
    <row r="23" spans="1:8" x14ac:dyDescent="0.25">
      <c r="A23" s="42"/>
      <c r="B23" s="42"/>
      <c r="C23" s="42"/>
      <c r="D23" s="42"/>
      <c r="E23" s="40" t="s">
        <v>79</v>
      </c>
      <c r="F23" s="40"/>
      <c r="H23" s="40" t="s">
        <v>80</v>
      </c>
    </row>
    <row r="24" spans="1:8" x14ac:dyDescent="0.25">
      <c r="A24" s="42"/>
      <c r="B24" s="42"/>
      <c r="C24" s="42"/>
      <c r="D24" s="42"/>
      <c r="E24" s="40" t="s">
        <v>81</v>
      </c>
      <c r="F24" s="40"/>
      <c r="H24" s="40" t="s">
        <v>82</v>
      </c>
    </row>
    <row r="25" spans="1:8" x14ac:dyDescent="0.25">
      <c r="A25" s="42"/>
      <c r="B25" s="42"/>
      <c r="C25" s="42"/>
      <c r="D25" s="42"/>
      <c r="H25" s="40" t="s">
        <v>83</v>
      </c>
    </row>
    <row r="26" spans="1:8" x14ac:dyDescent="0.25">
      <c r="A26" s="42"/>
      <c r="B26" s="42"/>
      <c r="C26" s="42"/>
      <c r="D26" s="42"/>
      <c r="E26" s="40"/>
      <c r="F26" s="40"/>
      <c r="G26" s="40"/>
      <c r="H26" s="40" t="s">
        <v>84</v>
      </c>
    </row>
    <row r="27" spans="1:8" x14ac:dyDescent="0.25">
      <c r="A27" s="108" t="s">
        <v>85</v>
      </c>
      <c r="B27" s="109"/>
      <c r="C27" s="109"/>
      <c r="D27" s="109"/>
      <c r="E27" s="99"/>
      <c r="F27" s="99"/>
      <c r="G27" s="99"/>
      <c r="H27" s="99"/>
    </row>
    <row r="28" spans="1:8" x14ac:dyDescent="0.25">
      <c r="A28" s="111" t="s">
        <v>86</v>
      </c>
      <c r="B28" s="112"/>
      <c r="C28" s="112"/>
      <c r="D28" s="112"/>
      <c r="E28" s="113" t="s">
        <v>87</v>
      </c>
      <c r="F28" s="113"/>
      <c r="G28" s="113"/>
      <c r="H28" s="113"/>
    </row>
    <row r="29" spans="1:8" x14ac:dyDescent="0.25">
      <c r="A29" s="114" t="s">
        <v>88</v>
      </c>
      <c r="B29" s="115"/>
      <c r="C29" s="115"/>
      <c r="D29" s="115"/>
      <c r="E29" s="105"/>
      <c r="F29" s="105"/>
      <c r="G29" s="105"/>
      <c r="H29" s="105"/>
    </row>
    <row r="30" spans="1:8" x14ac:dyDescent="0.25">
      <c r="A30" s="106" t="s">
        <v>89</v>
      </c>
      <c r="B30" s="107"/>
      <c r="C30" s="107"/>
      <c r="D30" s="107"/>
      <c r="E30" s="90"/>
      <c r="F30" s="90"/>
      <c r="G30" s="90"/>
      <c r="H30" s="90"/>
    </row>
    <row r="31" spans="1:8" x14ac:dyDescent="0.25">
      <c r="A31" s="108" t="s">
        <v>90</v>
      </c>
      <c r="B31" s="109"/>
      <c r="C31" s="109"/>
      <c r="D31" s="109"/>
      <c r="E31" s="110">
        <f>'Fossfjordur 2021'!I4+'[1]P&amp;T 2021'!I6+'[1]A.fjordur 2021'!I13</f>
        <v>23133</v>
      </c>
      <c r="F31" s="110"/>
      <c r="G31" s="110"/>
      <c r="H31" s="110"/>
    </row>
    <row r="32" spans="1:8" x14ac:dyDescent="0.25">
      <c r="A32" s="101" t="s">
        <v>91</v>
      </c>
      <c r="B32" s="102"/>
      <c r="C32" s="102"/>
      <c r="D32" s="102"/>
      <c r="E32" s="96">
        <v>6</v>
      </c>
      <c r="F32" s="96"/>
      <c r="G32" s="96"/>
      <c r="H32" s="96"/>
    </row>
    <row r="33" spans="1:8" x14ac:dyDescent="0.25">
      <c r="A33" s="101" t="s">
        <v>92</v>
      </c>
      <c r="B33" s="102"/>
      <c r="C33" s="102"/>
      <c r="D33" s="102"/>
      <c r="E33" s="96"/>
      <c r="F33" s="96"/>
      <c r="G33" s="96"/>
      <c r="H33" s="96"/>
    </row>
    <row r="34" spans="1:8" x14ac:dyDescent="0.25">
      <c r="A34" s="101" t="s">
        <v>93</v>
      </c>
      <c r="B34" s="102"/>
      <c r="C34" s="102"/>
      <c r="D34" s="102"/>
      <c r="E34" s="96"/>
      <c r="F34" s="96"/>
      <c r="G34" s="96"/>
      <c r="H34" s="96"/>
    </row>
    <row r="35" spans="1:8" x14ac:dyDescent="0.25">
      <c r="A35" s="103" t="s">
        <v>94</v>
      </c>
      <c r="B35" s="104"/>
      <c r="C35" s="104"/>
      <c r="D35" s="104"/>
      <c r="E35" s="105"/>
      <c r="F35" s="105"/>
      <c r="G35" s="105"/>
      <c r="H35" s="105"/>
    </row>
    <row r="36" spans="1:8" x14ac:dyDescent="0.25">
      <c r="A36" s="82" t="s">
        <v>95</v>
      </c>
      <c r="B36" s="83"/>
      <c r="C36" s="83"/>
      <c r="D36" s="83"/>
      <c r="E36" s="83"/>
      <c r="F36" s="83"/>
      <c r="G36" s="83"/>
      <c r="H36" s="83"/>
    </row>
    <row r="37" spans="1:8" x14ac:dyDescent="0.25">
      <c r="A37" s="97" t="s">
        <v>96</v>
      </c>
      <c r="B37" s="98"/>
      <c r="C37" s="97" t="s">
        <v>97</v>
      </c>
      <c r="D37" s="98"/>
      <c r="E37" s="97" t="s">
        <v>98</v>
      </c>
      <c r="F37" s="98"/>
      <c r="G37" s="99"/>
      <c r="H37" s="99"/>
    </row>
    <row r="38" spans="1:8" x14ac:dyDescent="0.25">
      <c r="A38" s="78"/>
      <c r="B38" s="100"/>
      <c r="C38" s="78" t="s">
        <v>99</v>
      </c>
      <c r="D38" s="100"/>
      <c r="E38" s="79"/>
      <c r="F38" s="100"/>
      <c r="G38" s="96"/>
      <c r="H38" s="96"/>
    </row>
    <row r="39" spans="1:8" x14ac:dyDescent="0.25">
      <c r="A39" s="68"/>
      <c r="B39" s="95"/>
      <c r="C39" s="68"/>
      <c r="D39" s="95"/>
      <c r="E39" s="69"/>
      <c r="F39" s="95"/>
      <c r="G39" s="96"/>
      <c r="H39" s="96"/>
    </row>
    <row r="40" spans="1:8" x14ac:dyDescent="0.25">
      <c r="A40" s="68"/>
      <c r="B40" s="95"/>
      <c r="C40" s="68"/>
      <c r="D40" s="95"/>
      <c r="E40" s="69"/>
      <c r="F40" s="95"/>
      <c r="G40" s="96"/>
      <c r="H40" s="96"/>
    </row>
    <row r="41" spans="1:8" x14ac:dyDescent="0.25">
      <c r="A41" s="82" t="s">
        <v>100</v>
      </c>
      <c r="B41" s="83"/>
      <c r="C41" s="83"/>
      <c r="D41" s="83"/>
      <c r="E41" s="83"/>
      <c r="F41" s="83"/>
      <c r="G41" s="83"/>
      <c r="H41" s="83"/>
    </row>
    <row r="42" spans="1:8" x14ac:dyDescent="0.25">
      <c r="A42" s="88" t="s">
        <v>101</v>
      </c>
      <c r="B42" s="90"/>
      <c r="C42" s="89"/>
      <c r="D42" s="88" t="s">
        <v>102</v>
      </c>
      <c r="E42" s="90"/>
      <c r="F42" s="89"/>
      <c r="G42" s="88" t="s">
        <v>103</v>
      </c>
      <c r="H42" s="90"/>
    </row>
    <row r="43" spans="1:8" x14ac:dyDescent="0.25">
      <c r="A43" s="44" t="s">
        <v>104</v>
      </c>
      <c r="B43" s="88" t="s">
        <v>105</v>
      </c>
      <c r="C43" s="89"/>
      <c r="D43" s="44" t="s">
        <v>106</v>
      </c>
      <c r="E43" s="88" t="s">
        <v>107</v>
      </c>
      <c r="F43" s="89"/>
      <c r="G43" s="44" t="s">
        <v>108</v>
      </c>
      <c r="H43" s="45" t="s">
        <v>109</v>
      </c>
    </row>
    <row r="44" spans="1:8" x14ac:dyDescent="0.25">
      <c r="A44" s="46"/>
      <c r="B44" s="88"/>
      <c r="C44" s="89"/>
      <c r="D44" s="46"/>
      <c r="E44" s="88"/>
      <c r="F44" s="89"/>
      <c r="G44" s="46"/>
      <c r="H44" s="45"/>
    </row>
    <row r="45" spans="1:8" x14ac:dyDescent="0.25">
      <c r="A45" s="46"/>
      <c r="B45" s="88"/>
      <c r="C45" s="89"/>
      <c r="D45" s="46"/>
      <c r="E45" s="88"/>
      <c r="F45" s="89"/>
      <c r="G45" s="46"/>
      <c r="H45" s="45"/>
    </row>
    <row r="46" spans="1:8" x14ac:dyDescent="0.25">
      <c r="A46" s="46"/>
      <c r="B46" s="88"/>
      <c r="C46" s="89"/>
      <c r="D46" s="46"/>
      <c r="E46" s="88"/>
      <c r="F46" s="89"/>
      <c r="G46" s="46"/>
      <c r="H46" s="45"/>
    </row>
    <row r="47" spans="1:8" x14ac:dyDescent="0.25">
      <c r="A47" s="82" t="s">
        <v>110</v>
      </c>
      <c r="B47" s="83"/>
      <c r="C47" s="83"/>
      <c r="D47" s="83"/>
      <c r="E47" s="83"/>
      <c r="F47" s="83"/>
      <c r="G47" s="83"/>
      <c r="H47" s="83"/>
    </row>
    <row r="48" spans="1:8" x14ac:dyDescent="0.25">
      <c r="A48" s="88" t="s">
        <v>101</v>
      </c>
      <c r="B48" s="90"/>
      <c r="C48" s="89"/>
      <c r="D48" s="88" t="s">
        <v>102</v>
      </c>
      <c r="E48" s="90"/>
      <c r="F48" s="89"/>
      <c r="G48" s="88" t="s">
        <v>111</v>
      </c>
      <c r="H48" s="90"/>
    </row>
    <row r="49" spans="1:8" x14ac:dyDescent="0.25">
      <c r="A49" s="44" t="s">
        <v>104</v>
      </c>
      <c r="B49" s="88" t="s">
        <v>105</v>
      </c>
      <c r="C49" s="89"/>
      <c r="D49" s="44" t="s">
        <v>106</v>
      </c>
      <c r="E49" s="88" t="s">
        <v>107</v>
      </c>
      <c r="F49" s="89"/>
      <c r="G49" s="44" t="s">
        <v>108</v>
      </c>
      <c r="H49" s="45" t="s">
        <v>109</v>
      </c>
    </row>
    <row r="50" spans="1:8" ht="31.5" customHeight="1" x14ac:dyDescent="0.25">
      <c r="A50" s="46">
        <v>12</v>
      </c>
      <c r="B50" s="72" t="s">
        <v>112</v>
      </c>
      <c r="C50" s="73"/>
      <c r="D50" s="46" t="s">
        <v>113</v>
      </c>
      <c r="E50" s="91" t="s">
        <v>114</v>
      </c>
      <c r="F50" s="92"/>
      <c r="G50" s="47">
        <f>'Fossfjordur 2021'!L4+'Fossfjordur 2021'!N4+'[1]P&amp;T 2021'!L6+'[1]P&amp;T 2021'!N6+'[1]A.fjordur 2021'!L13+'[1]A.fjordur 2021'!N13</f>
        <v>856892.67793920008</v>
      </c>
      <c r="H50" s="45"/>
    </row>
    <row r="51" spans="1:8" ht="26.25" customHeight="1" x14ac:dyDescent="0.25">
      <c r="A51" s="46">
        <v>13</v>
      </c>
      <c r="B51" s="72" t="s">
        <v>115</v>
      </c>
      <c r="C51" s="73"/>
      <c r="D51" s="46" t="s">
        <v>113</v>
      </c>
      <c r="E51" s="93"/>
      <c r="F51" s="94"/>
      <c r="G51" s="48">
        <f>'Fossfjordur 2021'!P4+'[1]P&amp;T 2021'!P6+'[1]A.fjordur 2021'!P13</f>
        <v>140417.50235520001</v>
      </c>
      <c r="H51" s="45"/>
    </row>
    <row r="52" spans="1:8" x14ac:dyDescent="0.25">
      <c r="A52" s="82" t="s">
        <v>116</v>
      </c>
      <c r="B52" s="83"/>
      <c r="C52" s="83"/>
      <c r="D52" s="83"/>
      <c r="E52" s="83"/>
      <c r="F52" s="83"/>
      <c r="G52" s="83"/>
      <c r="H52" s="83"/>
    </row>
    <row r="53" spans="1:8" x14ac:dyDescent="0.25">
      <c r="A53" s="88" t="s">
        <v>101</v>
      </c>
      <c r="B53" s="90"/>
      <c r="C53" s="89"/>
      <c r="D53" s="88" t="s">
        <v>102</v>
      </c>
      <c r="E53" s="90"/>
      <c r="F53" s="89"/>
      <c r="G53" s="88" t="s">
        <v>117</v>
      </c>
      <c r="H53" s="90"/>
    </row>
    <row r="54" spans="1:8" x14ac:dyDescent="0.25">
      <c r="A54" s="44" t="s">
        <v>104</v>
      </c>
      <c r="B54" s="88" t="s">
        <v>105</v>
      </c>
      <c r="C54" s="89"/>
      <c r="D54" s="44" t="s">
        <v>106</v>
      </c>
      <c r="E54" s="88" t="s">
        <v>107</v>
      </c>
      <c r="F54" s="89"/>
      <c r="G54" s="44" t="s">
        <v>108</v>
      </c>
      <c r="H54" s="45" t="s">
        <v>109</v>
      </c>
    </row>
    <row r="55" spans="1:8" x14ac:dyDescent="0.25">
      <c r="A55" s="46"/>
      <c r="B55" s="88"/>
      <c r="C55" s="89"/>
      <c r="D55" s="46"/>
      <c r="E55" s="88"/>
      <c r="F55" s="89"/>
      <c r="G55" s="46"/>
      <c r="H55" s="45"/>
    </row>
    <row r="56" spans="1:8" x14ac:dyDescent="0.25">
      <c r="A56" s="46"/>
      <c r="B56" s="88"/>
      <c r="C56" s="89"/>
      <c r="D56" s="46"/>
      <c r="E56" s="88"/>
      <c r="F56" s="89"/>
      <c r="G56" s="46"/>
      <c r="H56" s="45"/>
    </row>
    <row r="57" spans="1:8" x14ac:dyDescent="0.25">
      <c r="A57" s="46"/>
      <c r="B57" s="88"/>
      <c r="C57" s="89"/>
      <c r="D57" s="46"/>
      <c r="E57" s="88"/>
      <c r="F57" s="89"/>
      <c r="G57" s="46"/>
      <c r="H57" s="45"/>
    </row>
    <row r="58" spans="1:8" x14ac:dyDescent="0.25">
      <c r="A58" s="82" t="s">
        <v>118</v>
      </c>
      <c r="B58" s="83"/>
      <c r="C58" s="83"/>
      <c r="D58" s="83"/>
      <c r="E58" s="83"/>
      <c r="F58" s="83"/>
      <c r="G58" s="83"/>
      <c r="H58" s="83"/>
    </row>
    <row r="59" spans="1:8" x14ac:dyDescent="0.25">
      <c r="A59" s="88" t="s">
        <v>101</v>
      </c>
      <c r="B59" s="90"/>
      <c r="C59" s="89"/>
      <c r="D59" s="88" t="s">
        <v>102</v>
      </c>
      <c r="E59" s="90"/>
      <c r="F59" s="89"/>
      <c r="G59" s="88" t="s">
        <v>119</v>
      </c>
      <c r="H59" s="90"/>
    </row>
    <row r="60" spans="1:8" x14ac:dyDescent="0.25">
      <c r="A60" s="44" t="s">
        <v>104</v>
      </c>
      <c r="B60" s="88" t="s">
        <v>105</v>
      </c>
      <c r="C60" s="89"/>
      <c r="D60" s="44" t="s">
        <v>106</v>
      </c>
      <c r="E60" s="88" t="s">
        <v>107</v>
      </c>
      <c r="F60" s="89"/>
      <c r="G60" s="44" t="s">
        <v>108</v>
      </c>
      <c r="H60" s="45" t="s">
        <v>109</v>
      </c>
    </row>
    <row r="61" spans="1:8" x14ac:dyDescent="0.25">
      <c r="A61" s="46"/>
      <c r="B61" s="88"/>
      <c r="C61" s="89"/>
      <c r="D61" s="46"/>
      <c r="E61" s="88"/>
      <c r="F61" s="89"/>
      <c r="G61" s="46"/>
      <c r="H61" s="45"/>
    </row>
    <row r="62" spans="1:8" x14ac:dyDescent="0.25">
      <c r="A62" s="46"/>
      <c r="B62" s="88"/>
      <c r="C62" s="89"/>
      <c r="D62" s="46"/>
      <c r="E62" s="88"/>
      <c r="F62" s="89"/>
      <c r="G62" s="46"/>
      <c r="H62" s="45"/>
    </row>
    <row r="63" spans="1:8" x14ac:dyDescent="0.25">
      <c r="A63" s="46"/>
      <c r="B63" s="88"/>
      <c r="C63" s="89"/>
      <c r="D63" s="46"/>
      <c r="E63" s="88"/>
      <c r="F63" s="89"/>
      <c r="G63" s="46"/>
      <c r="H63" s="45"/>
    </row>
    <row r="64" spans="1:8" x14ac:dyDescent="0.25">
      <c r="A64" s="82" t="s">
        <v>120</v>
      </c>
      <c r="B64" s="83"/>
      <c r="C64" s="83"/>
      <c r="D64" s="83"/>
      <c r="E64" s="83"/>
      <c r="F64" s="83"/>
      <c r="G64" s="83"/>
      <c r="H64" s="83"/>
    </row>
    <row r="65" spans="1:8" x14ac:dyDescent="0.25">
      <c r="A65" s="86" t="s">
        <v>121</v>
      </c>
      <c r="B65" s="87"/>
    </row>
    <row r="66" spans="1:8" ht="30" x14ac:dyDescent="0.25">
      <c r="A66" s="49" t="s">
        <v>122</v>
      </c>
      <c r="B66" s="50" t="s">
        <v>123</v>
      </c>
      <c r="C66" s="51" t="s">
        <v>124</v>
      </c>
      <c r="D66" s="80" t="s">
        <v>107</v>
      </c>
      <c r="E66" s="81"/>
    </row>
    <row r="67" spans="1:8" x14ac:dyDescent="0.25">
      <c r="A67" s="52"/>
      <c r="B67" s="53"/>
      <c r="C67" s="54"/>
      <c r="D67" s="72"/>
      <c r="E67" s="73"/>
      <c r="F67" s="55"/>
      <c r="G67" s="55"/>
    </row>
    <row r="68" spans="1:8" x14ac:dyDescent="0.25">
      <c r="A68" s="52"/>
      <c r="B68" s="53"/>
      <c r="C68" s="54"/>
      <c r="D68" s="72"/>
      <c r="E68" s="73"/>
      <c r="F68" s="55"/>
      <c r="G68" s="55"/>
    </row>
    <row r="69" spans="1:8" x14ac:dyDescent="0.25">
      <c r="A69" s="52"/>
      <c r="B69" s="53"/>
      <c r="C69" s="54"/>
      <c r="D69" s="72"/>
      <c r="E69" s="73"/>
      <c r="F69" s="55"/>
      <c r="G69" s="55"/>
    </row>
    <row r="70" spans="1:8" x14ac:dyDescent="0.25">
      <c r="A70" s="86" t="s">
        <v>125</v>
      </c>
      <c r="B70" s="87"/>
    </row>
    <row r="71" spans="1:8" ht="30" x14ac:dyDescent="0.25">
      <c r="A71" s="49" t="s">
        <v>122</v>
      </c>
      <c r="B71" s="50" t="s">
        <v>123</v>
      </c>
      <c r="C71" s="51" t="s">
        <v>124</v>
      </c>
      <c r="D71" s="80" t="s">
        <v>107</v>
      </c>
      <c r="E71" s="81"/>
      <c r="F71" s="72" t="s">
        <v>126</v>
      </c>
      <c r="G71" s="73"/>
      <c r="H71" s="56" t="s">
        <v>127</v>
      </c>
    </row>
    <row r="72" spans="1:8" x14ac:dyDescent="0.25">
      <c r="A72" s="52"/>
      <c r="B72" s="53"/>
      <c r="C72" s="54"/>
      <c r="D72" s="72"/>
      <c r="E72" s="73"/>
      <c r="F72" s="80"/>
      <c r="G72" s="81"/>
      <c r="H72" s="45"/>
    </row>
    <row r="73" spans="1:8" x14ac:dyDescent="0.25">
      <c r="A73" s="52"/>
      <c r="B73" s="53"/>
      <c r="C73" s="54"/>
      <c r="D73" s="72"/>
      <c r="E73" s="73"/>
      <c r="F73" s="80"/>
      <c r="G73" s="81"/>
      <c r="H73" s="45"/>
    </row>
    <row r="74" spans="1:8" x14ac:dyDescent="0.25">
      <c r="A74" s="52"/>
      <c r="B74" s="53"/>
      <c r="C74" s="54"/>
      <c r="D74" s="72"/>
      <c r="E74" s="73"/>
      <c r="F74" s="80"/>
      <c r="G74" s="81"/>
      <c r="H74" s="45"/>
    </row>
    <row r="75" spans="1:8" x14ac:dyDescent="0.25">
      <c r="A75" s="82" t="s">
        <v>128</v>
      </c>
      <c r="B75" s="83"/>
      <c r="C75" s="83"/>
      <c r="D75" s="83"/>
      <c r="E75" s="83"/>
      <c r="F75" s="83"/>
      <c r="G75" s="83"/>
      <c r="H75" s="83"/>
    </row>
    <row r="76" spans="1:8" ht="30" x14ac:dyDescent="0.25">
      <c r="A76" s="57" t="s">
        <v>122</v>
      </c>
      <c r="B76" s="58" t="s">
        <v>123</v>
      </c>
      <c r="C76" s="59" t="s">
        <v>124</v>
      </c>
      <c r="D76" s="84" t="s">
        <v>107</v>
      </c>
      <c r="E76" s="85"/>
    </row>
    <row r="77" spans="1:8" x14ac:dyDescent="0.25">
      <c r="A77" s="52"/>
      <c r="B77" s="53"/>
      <c r="C77" s="54"/>
      <c r="D77" s="72"/>
      <c r="E77" s="73"/>
      <c r="F77" s="55"/>
      <c r="G77" s="55"/>
    </row>
    <row r="78" spans="1:8" x14ac:dyDescent="0.25">
      <c r="A78" s="52"/>
      <c r="B78" s="53"/>
      <c r="C78" s="54"/>
      <c r="D78" s="72"/>
      <c r="E78" s="73"/>
      <c r="F78" s="55"/>
      <c r="G78" s="55"/>
    </row>
    <row r="79" spans="1:8" x14ac:dyDescent="0.25">
      <c r="A79" s="60"/>
      <c r="B79" s="61"/>
      <c r="C79" s="62"/>
      <c r="D79" s="74"/>
      <c r="E79" s="75"/>
      <c r="F79" s="55"/>
      <c r="G79" s="55"/>
    </row>
    <row r="80" spans="1:8" x14ac:dyDescent="0.25">
      <c r="A80" s="76" t="s">
        <v>129</v>
      </c>
      <c r="B80" s="77"/>
      <c r="C80" s="77"/>
      <c r="D80" s="77"/>
      <c r="E80" s="77"/>
      <c r="F80" s="77"/>
      <c r="G80" s="77"/>
      <c r="H80" s="77"/>
    </row>
    <row r="81" spans="1:8" x14ac:dyDescent="0.25">
      <c r="A81" s="78" t="s">
        <v>130</v>
      </c>
      <c r="B81" s="79"/>
      <c r="C81" s="63" t="s">
        <v>131</v>
      </c>
      <c r="D81" s="64"/>
      <c r="E81" s="64"/>
      <c r="F81" s="64"/>
      <c r="G81" s="64"/>
      <c r="H81" s="64"/>
    </row>
    <row r="82" spans="1:8" x14ac:dyDescent="0.25">
      <c r="A82" s="68" t="s">
        <v>132</v>
      </c>
      <c r="B82" s="69"/>
      <c r="C82" s="65" t="s">
        <v>133</v>
      </c>
    </row>
    <row r="83" spans="1:8" x14ac:dyDescent="0.25">
      <c r="A83" s="68" t="s">
        <v>43</v>
      </c>
      <c r="B83" s="69"/>
      <c r="C83" s="65" t="s">
        <v>134</v>
      </c>
    </row>
    <row r="84" spans="1:8" x14ac:dyDescent="0.25">
      <c r="A84" s="68" t="s">
        <v>135</v>
      </c>
      <c r="B84" s="69"/>
      <c r="C84" s="65">
        <v>5912000</v>
      </c>
    </row>
    <row r="85" spans="1:8" x14ac:dyDescent="0.25">
      <c r="A85" s="68" t="s">
        <v>136</v>
      </c>
      <c r="B85" s="69"/>
      <c r="C85" s="65">
        <v>5912020</v>
      </c>
    </row>
    <row r="86" spans="1:8" x14ac:dyDescent="0.25">
      <c r="A86" s="70" t="s">
        <v>137</v>
      </c>
      <c r="B86" s="71"/>
      <c r="C86" s="66" t="s">
        <v>138</v>
      </c>
      <c r="D86" s="67"/>
      <c r="E86" s="67"/>
      <c r="F86" s="67"/>
      <c r="G86" s="67"/>
      <c r="H86" s="67"/>
    </row>
  </sheetData>
  <mergeCells count="126">
    <mergeCell ref="A4:D4"/>
    <mergeCell ref="E4:H4"/>
    <mergeCell ref="A5:D5"/>
    <mergeCell ref="E5:H5"/>
    <mergeCell ref="A6:D6"/>
    <mergeCell ref="E6:H6"/>
    <mergeCell ref="A1:D1"/>
    <mergeCell ref="E1:H1"/>
    <mergeCell ref="A2:D2"/>
    <mergeCell ref="E2:H2"/>
    <mergeCell ref="A3:D3"/>
    <mergeCell ref="E3:H3"/>
    <mergeCell ref="A10:D10"/>
    <mergeCell ref="A27:D27"/>
    <mergeCell ref="E27:H27"/>
    <mergeCell ref="A28:D28"/>
    <mergeCell ref="E28:H28"/>
    <mergeCell ref="A29:D29"/>
    <mergeCell ref="E29:H29"/>
    <mergeCell ref="A7:D7"/>
    <mergeCell ref="E7:H7"/>
    <mergeCell ref="A8:D8"/>
    <mergeCell ref="E8:H8"/>
    <mergeCell ref="A9:D9"/>
    <mergeCell ref="E9:H9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39:B39"/>
    <mergeCell ref="C39:D39"/>
    <mergeCell ref="E39:F39"/>
    <mergeCell ref="G39:H39"/>
    <mergeCell ref="A40:B40"/>
    <mergeCell ref="C40:D40"/>
    <mergeCell ref="E40:F40"/>
    <mergeCell ref="G40:H40"/>
    <mergeCell ref="A36:H36"/>
    <mergeCell ref="A37:B37"/>
    <mergeCell ref="C37:D37"/>
    <mergeCell ref="E37:F37"/>
    <mergeCell ref="G37:H37"/>
    <mergeCell ref="A38:B38"/>
    <mergeCell ref="C38:D38"/>
    <mergeCell ref="E38:F38"/>
    <mergeCell ref="G38:H38"/>
    <mergeCell ref="B44:C44"/>
    <mergeCell ref="E44:F44"/>
    <mergeCell ref="B45:C45"/>
    <mergeCell ref="E45:F45"/>
    <mergeCell ref="B46:C46"/>
    <mergeCell ref="E46:F46"/>
    <mergeCell ref="A41:H41"/>
    <mergeCell ref="A42:C42"/>
    <mergeCell ref="D42:F42"/>
    <mergeCell ref="G42:H42"/>
    <mergeCell ref="B43:C43"/>
    <mergeCell ref="E43:F43"/>
    <mergeCell ref="B50:C50"/>
    <mergeCell ref="E50:F51"/>
    <mergeCell ref="B51:C51"/>
    <mergeCell ref="A52:H52"/>
    <mergeCell ref="A53:C53"/>
    <mergeCell ref="D53:F53"/>
    <mergeCell ref="G53:H53"/>
    <mergeCell ref="A47:H47"/>
    <mergeCell ref="A48:C48"/>
    <mergeCell ref="D48:F48"/>
    <mergeCell ref="G48:H48"/>
    <mergeCell ref="B49:C49"/>
    <mergeCell ref="E49:F49"/>
    <mergeCell ref="B57:C57"/>
    <mergeCell ref="E57:F57"/>
    <mergeCell ref="A58:H58"/>
    <mergeCell ref="A59:C59"/>
    <mergeCell ref="D59:F59"/>
    <mergeCell ref="G59:H59"/>
    <mergeCell ref="B54:C54"/>
    <mergeCell ref="E54:F54"/>
    <mergeCell ref="B55:C55"/>
    <mergeCell ref="E55:F55"/>
    <mergeCell ref="B56:C56"/>
    <mergeCell ref="E56:F56"/>
    <mergeCell ref="B63:C63"/>
    <mergeCell ref="E63:F63"/>
    <mergeCell ref="A64:H64"/>
    <mergeCell ref="A65:B65"/>
    <mergeCell ref="D66:E66"/>
    <mergeCell ref="D67:E67"/>
    <mergeCell ref="B60:C60"/>
    <mergeCell ref="E60:F60"/>
    <mergeCell ref="B61:C61"/>
    <mergeCell ref="E61:F61"/>
    <mergeCell ref="B62:C62"/>
    <mergeCell ref="E62:F62"/>
    <mergeCell ref="D73:E73"/>
    <mergeCell ref="F73:G73"/>
    <mergeCell ref="D74:E74"/>
    <mergeCell ref="F74:G74"/>
    <mergeCell ref="A75:H75"/>
    <mergeCell ref="D76:E76"/>
    <mergeCell ref="D68:E68"/>
    <mergeCell ref="D69:E69"/>
    <mergeCell ref="A70:B70"/>
    <mergeCell ref="D71:E71"/>
    <mergeCell ref="F71:G71"/>
    <mergeCell ref="D72:E72"/>
    <mergeCell ref="F72:G72"/>
    <mergeCell ref="A83:B83"/>
    <mergeCell ref="A84:B84"/>
    <mergeCell ref="A85:B85"/>
    <mergeCell ref="A86:B86"/>
    <mergeCell ref="D77:E77"/>
    <mergeCell ref="D78:E78"/>
    <mergeCell ref="D79:E79"/>
    <mergeCell ref="A80:H80"/>
    <mergeCell ref="A81:B81"/>
    <mergeCell ref="A82:B82"/>
  </mergeCells>
  <hyperlinks>
    <hyperlink ref="C8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4"/>
  <sheetViews>
    <sheetView topLeftCell="H1" zoomScaleNormal="100" workbookViewId="0">
      <selection activeCell="N17" sqref="N17"/>
    </sheetView>
  </sheetViews>
  <sheetFormatPr defaultColWidth="15.7109375" defaultRowHeight="15" x14ac:dyDescent="0.25"/>
  <cols>
    <col min="1" max="1" width="22.140625" customWidth="1"/>
    <col min="2" max="2" width="17.5703125" customWidth="1"/>
    <col min="3" max="3" width="16" bestFit="1" customWidth="1"/>
    <col min="6" max="6" width="12.28515625" style="1" customWidth="1"/>
    <col min="7" max="7" width="11.85546875" customWidth="1"/>
    <col min="8" max="8" width="12.28515625" customWidth="1"/>
    <col min="9" max="9" width="19" customWidth="1"/>
    <col min="11" max="11" width="15.28515625" customWidth="1"/>
    <col min="12" max="17" width="13.140625" customWidth="1"/>
  </cols>
  <sheetData>
    <row r="1" spans="1:19" s="21" customFormat="1" x14ac:dyDescent="0.25">
      <c r="A1" s="21" t="s">
        <v>18</v>
      </c>
      <c r="B1" s="24" t="s">
        <v>17</v>
      </c>
      <c r="C1" s="21" t="s">
        <v>16</v>
      </c>
      <c r="D1" s="21" t="s">
        <v>15</v>
      </c>
      <c r="E1" s="21" t="s">
        <v>14</v>
      </c>
      <c r="F1" s="23" t="s">
        <v>13</v>
      </c>
      <c r="G1" s="21" t="s">
        <v>12</v>
      </c>
      <c r="H1" s="21" t="s">
        <v>11</v>
      </c>
      <c r="I1" s="21" t="s">
        <v>10</v>
      </c>
      <c r="K1" s="22" t="s">
        <v>9</v>
      </c>
      <c r="L1" s="22" t="s">
        <v>8</v>
      </c>
      <c r="M1" s="22" t="s">
        <v>7</v>
      </c>
      <c r="N1" s="22" t="s">
        <v>6</v>
      </c>
      <c r="O1" s="22" t="s">
        <v>5</v>
      </c>
      <c r="P1" s="22" t="s">
        <v>4</v>
      </c>
      <c r="Q1" s="22" t="s">
        <v>3</v>
      </c>
      <c r="R1" s="22" t="s">
        <v>2</v>
      </c>
    </row>
    <row r="2" spans="1:19" x14ac:dyDescent="0.25">
      <c r="B2" s="25" t="s">
        <v>19</v>
      </c>
      <c r="C2" s="26">
        <f>102576+126810+16500+512621</f>
        <v>758507</v>
      </c>
      <c r="D2" s="27">
        <v>0.96</v>
      </c>
      <c r="E2" s="28">
        <v>0.4</v>
      </c>
      <c r="F2" s="29">
        <f>E2/6.25</f>
        <v>6.4000000000000001E-2</v>
      </c>
      <c r="G2" s="30">
        <v>1.04E-2</v>
      </c>
      <c r="H2" s="27">
        <v>0.51</v>
      </c>
      <c r="I2" s="31"/>
      <c r="J2" s="15"/>
      <c r="K2" s="32">
        <f>C2*D2*H2*0.19</f>
        <v>70559.355168000009</v>
      </c>
      <c r="L2" s="13">
        <f>C2*D2*F2*0.15</f>
        <v>6990.4005119999993</v>
      </c>
      <c r="M2" s="13">
        <f>C2*D2*G2*0.44</f>
        <v>3332.09091072</v>
      </c>
      <c r="N2" s="13">
        <f>C2*D2*F2*0.48</f>
        <v>22369.281638399996</v>
      </c>
      <c r="O2" s="33">
        <f t="shared" ref="O2:O12" si="0">C2*D2*G2*0.26</f>
        <v>1968.96281088</v>
      </c>
      <c r="P2" s="32">
        <f>M2+O2</f>
        <v>5301.0537216000002</v>
      </c>
      <c r="Q2" s="11">
        <f>P2/I13</f>
        <v>0.52170590705639208</v>
      </c>
      <c r="R2" s="12">
        <f t="shared" ref="R2:R12" si="1">L2+N2</f>
        <v>29359.682150399996</v>
      </c>
      <c r="S2" s="34">
        <f>R2/$I$13</f>
        <v>2.8894481006200174</v>
      </c>
    </row>
    <row r="3" spans="1:19" x14ac:dyDescent="0.25">
      <c r="A3" s="35" t="s">
        <v>20</v>
      </c>
      <c r="B3" s="25" t="s">
        <v>21</v>
      </c>
      <c r="C3" s="26">
        <f>173500+61660+13000+5428367+104300</f>
        <v>5780827</v>
      </c>
      <c r="D3" s="27">
        <v>0.96</v>
      </c>
      <c r="E3" s="28">
        <v>0.4</v>
      </c>
      <c r="F3" s="29">
        <f>E3/6.25</f>
        <v>6.4000000000000001E-2</v>
      </c>
      <c r="G3" s="30">
        <v>8.3999999999999995E-3</v>
      </c>
      <c r="H3" s="27">
        <v>0.51</v>
      </c>
      <c r="I3" s="31"/>
      <c r="J3" s="15"/>
      <c r="K3" s="36">
        <f>C3*D3*H3*0.19</f>
        <v>537755.65084799996</v>
      </c>
      <c r="L3" s="36">
        <f t="shared" ref="L3" si="2">C3*D3*F3*0.15</f>
        <v>53276.101631999998</v>
      </c>
      <c r="M3" s="36">
        <f t="shared" ref="M3" si="3">C3*D3*G3*0.44</f>
        <v>20511.299128319999</v>
      </c>
      <c r="N3" s="36">
        <f t="shared" ref="N3" si="4">C3*D3*F3*0.48</f>
        <v>170483.5252224</v>
      </c>
      <c r="O3" s="36">
        <f t="shared" si="0"/>
        <v>12120.31312128</v>
      </c>
      <c r="P3" s="36">
        <f>M3+O3</f>
        <v>32631.612249599999</v>
      </c>
      <c r="Q3" s="11">
        <f>P3/I13</f>
        <v>3.2114567709477413</v>
      </c>
      <c r="R3" s="12">
        <f t="shared" si="1"/>
        <v>223759.6268544</v>
      </c>
      <c r="S3" s="34">
        <f t="shared" ref="S3:S12" si="5">R3/$I$13</f>
        <v>22.021417857927371</v>
      </c>
    </row>
    <row r="4" spans="1:19" x14ac:dyDescent="0.25">
      <c r="B4" s="25" t="s">
        <v>22</v>
      </c>
      <c r="C4" s="26">
        <f>443250</f>
        <v>443250</v>
      </c>
      <c r="D4" s="27">
        <v>0.96</v>
      </c>
      <c r="E4" s="28">
        <v>0.4</v>
      </c>
      <c r="F4" s="29">
        <f>E4/6.25</f>
        <v>6.4000000000000001E-2</v>
      </c>
      <c r="G4" s="30">
        <v>8.9999999999999993E-3</v>
      </c>
      <c r="H4" s="27">
        <v>0.51</v>
      </c>
      <c r="I4" s="31"/>
      <c r="K4" s="32">
        <f>C4*D4*H4*0.19</f>
        <v>41232.888000000006</v>
      </c>
      <c r="L4" s="13">
        <f>C4*D4*F4*0.15</f>
        <v>4084.9919999999997</v>
      </c>
      <c r="M4" s="13">
        <f>C4*D4*G4*0.44</f>
        <v>1685.0591999999999</v>
      </c>
      <c r="N4" s="13">
        <f>C4*D4*F4*0.48</f>
        <v>13071.974399999999</v>
      </c>
      <c r="O4" s="33">
        <f t="shared" si="0"/>
        <v>995.71680000000003</v>
      </c>
      <c r="P4" s="32">
        <f>M4+O4</f>
        <v>2680.7759999999998</v>
      </c>
      <c r="Q4" s="11">
        <f>P4/I13</f>
        <v>0.26382993799822851</v>
      </c>
      <c r="R4" s="12">
        <f t="shared" si="1"/>
        <v>17156.966399999998</v>
      </c>
      <c r="S4" s="34">
        <f t="shared" si="5"/>
        <v>1.6885116031886622</v>
      </c>
    </row>
    <row r="5" spans="1:19" x14ac:dyDescent="0.25">
      <c r="B5" s="25" t="s">
        <v>23</v>
      </c>
      <c r="C5" s="26">
        <f>453654+111317</f>
        <v>564971</v>
      </c>
      <c r="D5" s="27">
        <v>0.96</v>
      </c>
      <c r="E5" s="28">
        <v>0.4</v>
      </c>
      <c r="F5" s="29">
        <f>E5/6.25</f>
        <v>6.4000000000000001E-2</v>
      </c>
      <c r="G5" s="30">
        <v>8.3999999999999995E-3</v>
      </c>
      <c r="H5" s="27">
        <v>0.51</v>
      </c>
      <c r="I5" s="31"/>
      <c r="K5" s="36">
        <f t="shared" ref="K5" si="6">C5*D5*H5*0.19</f>
        <v>52555.862304000002</v>
      </c>
      <c r="L5" s="36">
        <f t="shared" ref="L5" si="7">C5*D5*F5*0.15</f>
        <v>5206.7727359999999</v>
      </c>
      <c r="M5" s="36">
        <f t="shared" ref="M5" si="8">C5*D5*G5*0.44</f>
        <v>2004.60750336</v>
      </c>
      <c r="N5" s="36">
        <f t="shared" ref="N5" si="9">C5*D5*F5*0.48</f>
        <v>16661.672755200001</v>
      </c>
      <c r="O5" s="36">
        <f t="shared" si="0"/>
        <v>1184.54079744</v>
      </c>
      <c r="P5" s="36">
        <f>M5+O5</f>
        <v>3189.1483008</v>
      </c>
      <c r="Q5" s="11">
        <f>P5/I13</f>
        <v>0.31386165739592559</v>
      </c>
      <c r="R5" s="12">
        <f t="shared" si="1"/>
        <v>21868.4454912</v>
      </c>
      <c r="S5" s="34">
        <f t="shared" si="5"/>
        <v>2.15219422214349</v>
      </c>
    </row>
    <row r="6" spans="1:19" x14ac:dyDescent="0.25">
      <c r="B6" s="6" t="s">
        <v>24</v>
      </c>
      <c r="C6" s="26">
        <f>57868</f>
        <v>57868</v>
      </c>
      <c r="D6" s="27">
        <v>0.96</v>
      </c>
      <c r="E6" s="28">
        <v>0.4</v>
      </c>
      <c r="F6" s="29">
        <f t="shared" ref="F6:F8" si="10">E6/6.25</f>
        <v>6.4000000000000001E-2</v>
      </c>
      <c r="G6" s="30">
        <v>1.0699999999999999E-2</v>
      </c>
      <c r="H6" s="27">
        <v>0.51</v>
      </c>
      <c r="I6" s="31"/>
      <c r="J6" s="15"/>
      <c r="K6" s="14">
        <f>C6*D6*H6*0.19</f>
        <v>5383.1128319999998</v>
      </c>
      <c r="L6" s="14">
        <f>C6*D6*F6*0.15</f>
        <v>533.31148799999994</v>
      </c>
      <c r="M6" s="14">
        <f>C6*D6*G6*0.44</f>
        <v>261.54484223999998</v>
      </c>
      <c r="N6" s="14">
        <f>C6*D6*F6*0.48</f>
        <v>1706.5967616</v>
      </c>
      <c r="O6" s="14">
        <f t="shared" si="0"/>
        <v>154.54922496</v>
      </c>
      <c r="P6" s="14">
        <f>O6+M6</f>
        <v>416.09406719999998</v>
      </c>
      <c r="Q6" s="11">
        <f>P6/I13</f>
        <v>4.0950109949808085E-2</v>
      </c>
      <c r="R6" s="12">
        <f t="shared" si="1"/>
        <v>2239.9082496000001</v>
      </c>
      <c r="S6" s="34">
        <f t="shared" si="5"/>
        <v>0.22044171337466786</v>
      </c>
    </row>
    <row r="7" spans="1:19" x14ac:dyDescent="0.25">
      <c r="B7" s="6" t="s">
        <v>25</v>
      </c>
      <c r="C7" s="26">
        <f>216798+145500</f>
        <v>362298</v>
      </c>
      <c r="D7" s="27">
        <v>0.96</v>
      </c>
      <c r="E7" s="28">
        <v>0.4</v>
      </c>
      <c r="F7" s="29">
        <f t="shared" si="10"/>
        <v>6.4000000000000001E-2</v>
      </c>
      <c r="G7" s="30">
        <v>1.06E-2</v>
      </c>
      <c r="H7" s="27">
        <v>0.51</v>
      </c>
      <c r="I7" s="31"/>
      <c r="J7" s="15"/>
      <c r="K7" s="14">
        <f>C7*D7*H7*0.19</f>
        <v>33702.409152</v>
      </c>
      <c r="L7" s="14">
        <f>C7*D7*F7*0.15</f>
        <v>3338.9383679999996</v>
      </c>
      <c r="M7" s="14">
        <f>C7*D7*G7*0.44</f>
        <v>1622.1675571199999</v>
      </c>
      <c r="N7" s="14">
        <f>C7*D7*F7*0.48</f>
        <v>10684.602777599997</v>
      </c>
      <c r="O7" s="14">
        <f t="shared" si="0"/>
        <v>958.55355647999988</v>
      </c>
      <c r="P7" s="14">
        <f t="shared" ref="P7:P12" si="11">M7+O7</f>
        <v>2580.7211135999996</v>
      </c>
      <c r="Q7" s="11">
        <f>P7/I13</f>
        <v>0.25398298529672275</v>
      </c>
      <c r="R7" s="12">
        <f t="shared" si="1"/>
        <v>14023.541145599997</v>
      </c>
      <c r="S7" s="34">
        <f t="shared" si="5"/>
        <v>1.380133957838795</v>
      </c>
    </row>
    <row r="8" spans="1:19" x14ac:dyDescent="0.25">
      <c r="B8" s="6" t="s">
        <v>26</v>
      </c>
      <c r="C8" s="37">
        <f>37021+5250+140407</f>
        <v>182678</v>
      </c>
      <c r="D8" s="27">
        <v>0.96</v>
      </c>
      <c r="E8" s="28">
        <v>0.4</v>
      </c>
      <c r="F8" s="29">
        <f t="shared" si="10"/>
        <v>6.4000000000000001E-2</v>
      </c>
      <c r="G8" s="30">
        <v>1.04E-2</v>
      </c>
      <c r="H8" s="27">
        <v>0.51</v>
      </c>
      <c r="I8" s="31"/>
      <c r="J8" s="15"/>
      <c r="K8" s="32">
        <f>C8*D8*H8*0.19</f>
        <v>16993.438272000003</v>
      </c>
      <c r="L8" s="13">
        <f>C8*D8*F8*0.15</f>
        <v>1683.560448</v>
      </c>
      <c r="M8" s="13">
        <f>C8*D8*G8*0.44</f>
        <v>802.49714688000006</v>
      </c>
      <c r="N8" s="13">
        <f>C8*D8*F8*0.48</f>
        <v>5387.3934336000002</v>
      </c>
      <c r="O8" s="33">
        <f t="shared" si="0"/>
        <v>474.20285952</v>
      </c>
      <c r="P8" s="32">
        <f t="shared" si="11"/>
        <v>1276.7000064000001</v>
      </c>
      <c r="Q8" s="11">
        <f>P8/I13</f>
        <v>0.12564708260997934</v>
      </c>
      <c r="R8" s="12">
        <f t="shared" si="1"/>
        <v>7070.9538816000004</v>
      </c>
      <c r="S8" s="34">
        <f t="shared" si="5"/>
        <v>0.69589153445527019</v>
      </c>
    </row>
    <row r="9" spans="1:19" x14ac:dyDescent="0.25">
      <c r="B9" s="6" t="s">
        <v>27</v>
      </c>
      <c r="C9" s="37">
        <f>43003+810658+382583</f>
        <v>1236244</v>
      </c>
      <c r="D9" s="27">
        <v>0.96</v>
      </c>
      <c r="E9" s="28">
        <v>0.4</v>
      </c>
      <c r="F9" s="29">
        <f>E9/6.25</f>
        <v>6.4000000000000001E-2</v>
      </c>
      <c r="G9" s="30">
        <v>1.0500000000000001E-2</v>
      </c>
      <c r="H9" s="27">
        <v>0.51</v>
      </c>
      <c r="I9" s="31"/>
      <c r="J9" s="15"/>
      <c r="K9" s="32">
        <f>C9*D9*H9*0.19</f>
        <v>115000.36185600002</v>
      </c>
      <c r="L9" s="13">
        <f>C9*D9*F9*0.15</f>
        <v>11393.224703999998</v>
      </c>
      <c r="M9" s="13">
        <f>C9*D9*G9*0.44</f>
        <v>5482.9893888000006</v>
      </c>
      <c r="N9" s="13">
        <f>C9*D9*F9*0.48</f>
        <v>36458.319052799998</v>
      </c>
      <c r="O9" s="33">
        <f t="shared" si="0"/>
        <v>3239.9482752000004</v>
      </c>
      <c r="P9" s="32">
        <f t="shared" si="11"/>
        <v>8722.937664000001</v>
      </c>
      <c r="Q9" s="11">
        <f>P9/I13</f>
        <v>0.85847236138175387</v>
      </c>
      <c r="R9" s="12">
        <f t="shared" si="1"/>
        <v>47851.543756799998</v>
      </c>
      <c r="S9" s="34">
        <f t="shared" si="5"/>
        <v>4.7093340967227633</v>
      </c>
    </row>
    <row r="10" spans="1:19" x14ac:dyDescent="0.25">
      <c r="B10" s="6" t="s">
        <v>28</v>
      </c>
      <c r="C10" s="37">
        <f>882750+224802+101250+2293413</f>
        <v>3502215</v>
      </c>
      <c r="D10" s="27">
        <v>0.96</v>
      </c>
      <c r="E10" s="28">
        <v>0.4</v>
      </c>
      <c r="F10" s="29">
        <f>E10/6.25</f>
        <v>6.4000000000000001E-2</v>
      </c>
      <c r="G10" s="28">
        <v>8.9999999999999993E-3</v>
      </c>
      <c r="H10" s="27">
        <v>0.51</v>
      </c>
      <c r="I10" s="31"/>
      <c r="J10" s="15"/>
      <c r="K10" s="36">
        <f t="shared" ref="K10" si="12">C10*D10*H10*0.19</f>
        <v>325790.04816000001</v>
      </c>
      <c r="L10" s="36">
        <f t="shared" ref="L10" si="13">C10*D10*F10*0.15</f>
        <v>32276.41344</v>
      </c>
      <c r="M10" s="36">
        <f t="shared" ref="M10" si="14">C10*D10*G10*0.44</f>
        <v>13314.020543999999</v>
      </c>
      <c r="N10" s="36">
        <f t="shared" ref="N10" si="15">C10*D10*F10*0.48</f>
        <v>103284.523008</v>
      </c>
      <c r="O10" s="36">
        <f t="shared" si="0"/>
        <v>7867.3757759999999</v>
      </c>
      <c r="P10" s="36">
        <f t="shared" si="11"/>
        <v>21181.39632</v>
      </c>
      <c r="Q10" s="11">
        <f>P10/I13</f>
        <v>2.0845779273693532</v>
      </c>
      <c r="R10" s="12">
        <f t="shared" si="1"/>
        <v>135560.93644799999</v>
      </c>
      <c r="S10" s="34">
        <f t="shared" si="5"/>
        <v>13.341298735163861</v>
      </c>
    </row>
    <row r="11" spans="1:19" x14ac:dyDescent="0.25">
      <c r="B11" s="6" t="s">
        <v>29</v>
      </c>
      <c r="C11" s="37">
        <v>125665</v>
      </c>
      <c r="D11" s="27">
        <v>0.96</v>
      </c>
      <c r="E11" s="28">
        <v>0.4</v>
      </c>
      <c r="F11" s="29">
        <f t="shared" ref="F11" si="16">E11/6.25</f>
        <v>6.4000000000000001E-2</v>
      </c>
      <c r="G11" s="30">
        <v>1.04E-2</v>
      </c>
      <c r="H11" s="27">
        <v>0.51</v>
      </c>
      <c r="I11" s="31"/>
      <c r="J11" s="15"/>
      <c r="K11" s="32">
        <f>C11*D11*H11*0.19</f>
        <v>11689.86096</v>
      </c>
      <c r="L11" s="13">
        <f>C11*D11*F11*0.15</f>
        <v>1158.1286399999999</v>
      </c>
      <c r="M11" s="13">
        <f>C11*D11*G11*0.44</f>
        <v>552.04131839999991</v>
      </c>
      <c r="N11" s="13">
        <f>C11*D11*F11*0.48</f>
        <v>3706.0116479999997</v>
      </c>
      <c r="O11" s="33">
        <f t="shared" si="0"/>
        <v>326.20623359999996</v>
      </c>
      <c r="P11" s="32">
        <f t="shared" si="11"/>
        <v>878.24755199999981</v>
      </c>
      <c r="Q11" s="11">
        <f>P11/I13</f>
        <v>8.643318098612339E-2</v>
      </c>
      <c r="R11" s="12">
        <f t="shared" si="1"/>
        <v>4864.1402879999996</v>
      </c>
      <c r="S11" s="34">
        <f t="shared" si="5"/>
        <v>0.47870684853852963</v>
      </c>
    </row>
    <row r="12" spans="1:19" x14ac:dyDescent="0.25">
      <c r="A12" s="35" t="s">
        <v>30</v>
      </c>
      <c r="B12" s="6" t="s">
        <v>31</v>
      </c>
      <c r="C12" s="37">
        <v>74500</v>
      </c>
      <c r="D12" s="27">
        <v>0.96</v>
      </c>
      <c r="E12" s="28">
        <v>0.4</v>
      </c>
      <c r="F12" s="29">
        <f>E12/6.25</f>
        <v>6.4000000000000001E-2</v>
      </c>
      <c r="G12" s="30">
        <v>1.4999999999999999E-2</v>
      </c>
      <c r="H12" s="27">
        <v>0.51</v>
      </c>
      <c r="I12" s="31"/>
      <c r="J12" s="15"/>
      <c r="K12" s="36">
        <f t="shared" ref="K12" si="17">C12*D12*H12*0.19</f>
        <v>6930.2879999999996</v>
      </c>
      <c r="L12" s="36">
        <f t="shared" ref="L12" si="18">C12*D12*F12*0.15</f>
        <v>686.59199999999998</v>
      </c>
      <c r="M12" s="36">
        <f t="shared" ref="M12" si="19">C12*D12*G12*0.44</f>
        <v>472.03199999999998</v>
      </c>
      <c r="N12" s="36">
        <f t="shared" ref="N12" si="20">C12*D12*F12*0.48</f>
        <v>2197.0944</v>
      </c>
      <c r="O12" s="36">
        <f t="shared" si="0"/>
        <v>278.928</v>
      </c>
      <c r="P12" s="36">
        <f t="shared" si="11"/>
        <v>750.96</v>
      </c>
      <c r="Q12" s="11">
        <f>P12/I13</f>
        <v>7.3906111603188662E-2</v>
      </c>
      <c r="R12" s="12">
        <f t="shared" si="1"/>
        <v>2883.6864</v>
      </c>
      <c r="S12" s="34">
        <f t="shared" si="5"/>
        <v>0.28379946855624449</v>
      </c>
    </row>
    <row r="13" spans="1:19" ht="18.75" x14ac:dyDescent="0.3">
      <c r="B13" s="9" t="s">
        <v>0</v>
      </c>
      <c r="C13" s="7">
        <f>SUM(C2:C12)</f>
        <v>13089023</v>
      </c>
      <c r="D13" s="6"/>
      <c r="E13" s="6"/>
      <c r="F13" s="8"/>
      <c r="G13" s="6"/>
      <c r="H13" s="6"/>
      <c r="I13" s="7">
        <f>7144+954+2063</f>
        <v>10161</v>
      </c>
      <c r="J13" s="6"/>
      <c r="K13" s="5">
        <f t="shared" ref="K13:P13" si="21">SUM(K2:K12)</f>
        <v>1217593.2755519999</v>
      </c>
      <c r="L13" s="5">
        <f t="shared" si="21"/>
        <v>120628.43596800001</v>
      </c>
      <c r="M13" s="5">
        <f t="shared" si="21"/>
        <v>50040.349539839997</v>
      </c>
      <c r="N13" s="5">
        <f t="shared" si="21"/>
        <v>386010.99509759998</v>
      </c>
      <c r="O13" s="5">
        <f t="shared" si="21"/>
        <v>29569.297455360003</v>
      </c>
      <c r="P13" s="5">
        <f t="shared" si="21"/>
        <v>79609.646995200004</v>
      </c>
      <c r="Q13" s="116">
        <f>P13/$I13</f>
        <v>7.8348240325952174</v>
      </c>
      <c r="R13" s="5">
        <f>SUM(R2:R8)</f>
        <v>315479.12417279993</v>
      </c>
      <c r="S13" s="4">
        <f>R13/$I13</f>
        <v>31.048038989548267</v>
      </c>
    </row>
    <row r="14" spans="1:19" x14ac:dyDescent="0.25">
      <c r="Q14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"/>
  <sheetViews>
    <sheetView topLeftCell="G1" workbookViewId="0">
      <selection activeCell="Q10" sqref="Q10"/>
    </sheetView>
  </sheetViews>
  <sheetFormatPr defaultColWidth="15.7109375" defaultRowHeight="15" x14ac:dyDescent="0.25"/>
  <cols>
    <col min="1" max="1" width="22.140625" customWidth="1"/>
    <col min="3" max="3" width="16" bestFit="1" customWidth="1"/>
    <col min="6" max="6" width="12.28515625" style="1" customWidth="1"/>
    <col min="7" max="7" width="11.85546875" customWidth="1"/>
    <col min="8" max="8" width="12.28515625" customWidth="1"/>
    <col min="9" max="9" width="19" customWidth="1"/>
    <col min="11" max="11" width="15.28515625" customWidth="1"/>
    <col min="12" max="17" width="13.140625" customWidth="1"/>
  </cols>
  <sheetData>
    <row r="1" spans="1:19" s="21" customFormat="1" x14ac:dyDescent="0.25">
      <c r="B1" s="24" t="s">
        <v>17</v>
      </c>
      <c r="C1" s="21" t="s">
        <v>16</v>
      </c>
      <c r="D1" s="21" t="s">
        <v>15</v>
      </c>
      <c r="E1" s="21" t="s">
        <v>14</v>
      </c>
      <c r="F1" s="23" t="s">
        <v>13</v>
      </c>
      <c r="G1" s="21" t="s">
        <v>12</v>
      </c>
      <c r="H1" s="21" t="s">
        <v>11</v>
      </c>
      <c r="I1" s="21" t="s">
        <v>10</v>
      </c>
      <c r="K1" s="22" t="s">
        <v>9</v>
      </c>
      <c r="L1" s="22" t="s">
        <v>8</v>
      </c>
      <c r="M1" s="22" t="s">
        <v>7</v>
      </c>
      <c r="N1" s="22" t="s">
        <v>6</v>
      </c>
      <c r="O1" s="22" t="s">
        <v>5</v>
      </c>
      <c r="P1" s="22" t="s">
        <v>4</v>
      </c>
      <c r="Q1" s="22" t="s">
        <v>3</v>
      </c>
      <c r="R1" s="22" t="s">
        <v>2</v>
      </c>
    </row>
    <row r="2" spans="1:19" x14ac:dyDescent="0.25">
      <c r="A2" t="s">
        <v>1</v>
      </c>
      <c r="B2" s="6"/>
      <c r="C2" s="20">
        <v>1724106</v>
      </c>
      <c r="D2" s="17">
        <v>0.96</v>
      </c>
      <c r="E2" s="18">
        <v>0.4</v>
      </c>
      <c r="F2" s="19">
        <f>E2/6.25</f>
        <v>6.4000000000000001E-2</v>
      </c>
      <c r="G2" s="18">
        <v>0.01</v>
      </c>
      <c r="H2" s="17">
        <v>0.51</v>
      </c>
      <c r="I2" s="16">
        <v>1528</v>
      </c>
      <c r="J2" s="15"/>
      <c r="K2" s="14">
        <f>C2*D2*H2*0.19</f>
        <v>160383.23654400001</v>
      </c>
      <c r="L2" s="14">
        <f>C2*D2*F2*0.15</f>
        <v>15889.360895999998</v>
      </c>
      <c r="M2" s="14">
        <f>C2*D2*G2*0.44</f>
        <v>7282.6237440000004</v>
      </c>
      <c r="N2" s="14">
        <f>C2*D2*F2*0.48</f>
        <v>50845.954867199995</v>
      </c>
      <c r="O2" s="14">
        <f>C2*D2*G2*0.26</f>
        <v>4303.3685760000008</v>
      </c>
      <c r="P2" s="14">
        <f>M2+O2</f>
        <v>11585.992320000001</v>
      </c>
      <c r="Q2" s="13">
        <f>P2/$I2</f>
        <v>7.5824557068062832</v>
      </c>
      <c r="R2" s="12"/>
      <c r="S2" s="11"/>
    </row>
    <row r="3" spans="1:19" x14ac:dyDescent="0.25">
      <c r="K3" s="10"/>
      <c r="L3" s="10"/>
      <c r="M3" s="10"/>
      <c r="N3" s="10"/>
      <c r="O3" s="10"/>
      <c r="Q3" s="3"/>
      <c r="S3" s="3"/>
    </row>
    <row r="4" spans="1:19" ht="18.75" x14ac:dyDescent="0.3">
      <c r="B4" s="9" t="s">
        <v>0</v>
      </c>
      <c r="C4" s="7">
        <f>SUM(C2:C2)</f>
        <v>1724106</v>
      </c>
      <c r="D4" s="6"/>
      <c r="E4" s="6"/>
      <c r="F4" s="8"/>
      <c r="G4" s="6"/>
      <c r="H4" s="6"/>
      <c r="I4" s="7">
        <f>SUM(I2:I2)</f>
        <v>1528</v>
      </c>
      <c r="J4" s="6"/>
      <c r="K4" s="5">
        <f>SUM(K2:K2)</f>
        <v>160383.23654400001</v>
      </c>
      <c r="L4" s="5">
        <f>SUM(L2:L2)</f>
        <v>15889.360895999998</v>
      </c>
      <c r="M4" s="5">
        <f>SUM(M2:M2)</f>
        <v>7282.6237440000004</v>
      </c>
      <c r="N4" s="5">
        <f>SUM(N2:N2)</f>
        <v>50845.954867199995</v>
      </c>
      <c r="O4" s="5">
        <f>SUM(O2:O2)</f>
        <v>4303.3685760000008</v>
      </c>
      <c r="P4" s="5">
        <f>SUM(P2)</f>
        <v>11585.992320000001</v>
      </c>
      <c r="Q4" s="116">
        <f>P4/$I4</f>
        <v>7.5824557068062832</v>
      </c>
      <c r="R4" s="5">
        <f>SUM(R2:R2)</f>
        <v>0</v>
      </c>
      <c r="S4" s="4">
        <f>R4/$I4</f>
        <v>0</v>
      </c>
    </row>
    <row r="5" spans="1:19" x14ac:dyDescent="0.25">
      <c r="Q5" s="3"/>
    </row>
    <row r="6" spans="1:19" x14ac:dyDescent="0.25">
      <c r="K6" s="2"/>
    </row>
    <row r="7" spans="1:19" x14ac:dyDescent="0.25">
      <c r="L7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"/>
  <sheetViews>
    <sheetView tabSelected="1" topLeftCell="G1" workbookViewId="0">
      <selection activeCell="P14" sqref="P14"/>
    </sheetView>
  </sheetViews>
  <sheetFormatPr defaultColWidth="15.7109375" defaultRowHeight="15" x14ac:dyDescent="0.25"/>
  <cols>
    <col min="1" max="1" width="22.140625" customWidth="1"/>
    <col min="3" max="3" width="16" bestFit="1" customWidth="1"/>
    <col min="6" max="6" width="12.28515625" style="1" customWidth="1"/>
    <col min="7" max="7" width="11.85546875" customWidth="1"/>
    <col min="8" max="8" width="12.28515625" customWidth="1"/>
    <col min="9" max="9" width="19" customWidth="1"/>
    <col min="11" max="11" width="15.28515625" customWidth="1"/>
    <col min="12" max="17" width="13.140625" customWidth="1"/>
  </cols>
  <sheetData>
    <row r="1" spans="1:19" s="21" customFormat="1" x14ac:dyDescent="0.25">
      <c r="B1" s="24" t="s">
        <v>17</v>
      </c>
      <c r="C1" s="21" t="s">
        <v>16</v>
      </c>
      <c r="D1" s="21" t="s">
        <v>15</v>
      </c>
      <c r="E1" s="21" t="s">
        <v>14</v>
      </c>
      <c r="F1" s="23" t="s">
        <v>13</v>
      </c>
      <c r="G1" s="21" t="s">
        <v>12</v>
      </c>
      <c r="H1" s="21" t="s">
        <v>11</v>
      </c>
      <c r="I1" s="21" t="s">
        <v>10</v>
      </c>
      <c r="K1" s="22" t="s">
        <v>9</v>
      </c>
      <c r="L1" s="22" t="s">
        <v>8</v>
      </c>
      <c r="M1" s="22" t="s">
        <v>7</v>
      </c>
      <c r="N1" s="22" t="s">
        <v>6</v>
      </c>
      <c r="O1" s="22" t="s">
        <v>5</v>
      </c>
      <c r="P1" s="22" t="s">
        <v>4</v>
      </c>
      <c r="Q1" s="22" t="s">
        <v>3</v>
      </c>
      <c r="R1" s="22" t="s">
        <v>2</v>
      </c>
    </row>
    <row r="2" spans="1:19" x14ac:dyDescent="0.25">
      <c r="A2" t="s">
        <v>33</v>
      </c>
      <c r="B2" s="6"/>
      <c r="C2" s="20">
        <v>4750833</v>
      </c>
      <c r="D2" s="17">
        <v>0.96</v>
      </c>
      <c r="E2" s="18">
        <v>0.4</v>
      </c>
      <c r="F2" s="19">
        <f>E2/6.25</f>
        <v>6.4000000000000001E-2</v>
      </c>
      <c r="G2" s="18">
        <v>0.01</v>
      </c>
      <c r="H2" s="17">
        <v>0.51</v>
      </c>
      <c r="I2" s="16">
        <v>8899</v>
      </c>
      <c r="J2" s="15"/>
      <c r="K2" s="32">
        <f>C2*D2*H2*0.19</f>
        <v>441941.48899199994</v>
      </c>
      <c r="L2" s="13">
        <f>C2*D2*F2*0.15</f>
        <v>43783.676928000001</v>
      </c>
      <c r="M2" s="13">
        <f>C2*D2*G2*0.44</f>
        <v>20067.518592</v>
      </c>
      <c r="N2" s="13">
        <f>C2*D2*F2*0.48</f>
        <v>140107.76616959999</v>
      </c>
      <c r="O2" s="33">
        <f>C2*D2*G2*0.26</f>
        <v>11858.079168</v>
      </c>
      <c r="P2" s="32">
        <f>M2+O2</f>
        <v>31925.597760000001</v>
      </c>
      <c r="Q2" s="11">
        <f>P2/$I2</f>
        <v>3.5875489111136085</v>
      </c>
      <c r="R2" s="12"/>
      <c r="S2" s="11"/>
    </row>
    <row r="3" spans="1:19" x14ac:dyDescent="0.25">
      <c r="A3" t="s">
        <v>32</v>
      </c>
      <c r="B3" s="6"/>
      <c r="C3" s="20">
        <v>2573849</v>
      </c>
      <c r="D3" s="17">
        <v>0.96</v>
      </c>
      <c r="E3" s="18">
        <v>0.4</v>
      </c>
      <c r="F3" s="19">
        <f>E3/6.25</f>
        <v>6.4000000000000001E-2</v>
      </c>
      <c r="G3" s="18">
        <v>0.01</v>
      </c>
      <c r="H3" s="17">
        <v>0.51</v>
      </c>
      <c r="I3" s="16">
        <v>2545</v>
      </c>
      <c r="J3" s="15"/>
      <c r="K3" s="36">
        <f>C3*D3*H3*0.19</f>
        <v>239429.729376</v>
      </c>
      <c r="L3" s="36">
        <f>C3*D3*F3*0.15</f>
        <v>23720.592384</v>
      </c>
      <c r="M3" s="36">
        <f>C3*D3*G3*0.44</f>
        <v>10871.938176000001</v>
      </c>
      <c r="N3" s="36">
        <f>C3*D3*F3*0.48</f>
        <v>75905.89562879999</v>
      </c>
      <c r="O3" s="36">
        <f>C3*D3*G3*0.26</f>
        <v>6424.3271040000009</v>
      </c>
      <c r="P3" s="36">
        <f>M3+O3</f>
        <v>17296.265280000003</v>
      </c>
      <c r="Q3" s="11">
        <f>P3/$I3</f>
        <v>6.7961749626719072</v>
      </c>
      <c r="R3" s="12"/>
      <c r="S3" s="11"/>
    </row>
    <row r="4" spans="1:19" x14ac:dyDescent="0.25">
      <c r="B4" s="6"/>
      <c r="C4" s="20"/>
      <c r="D4" s="17"/>
      <c r="E4" s="18"/>
      <c r="F4" s="19">
        <f>E4/6.25</f>
        <v>0</v>
      </c>
      <c r="G4" s="18"/>
      <c r="H4" s="17"/>
      <c r="I4" s="38"/>
      <c r="J4" s="15"/>
      <c r="K4" s="36"/>
      <c r="L4" s="36"/>
      <c r="M4" s="36"/>
      <c r="N4" s="36"/>
      <c r="O4" s="36"/>
      <c r="P4" s="36"/>
      <c r="Q4" s="11"/>
      <c r="R4" s="12"/>
      <c r="S4" s="11"/>
    </row>
    <row r="5" spans="1:19" x14ac:dyDescent="0.25">
      <c r="K5" s="10"/>
      <c r="L5" s="10"/>
      <c r="M5" s="10"/>
      <c r="N5" s="10"/>
      <c r="O5" s="10"/>
      <c r="Q5" s="3"/>
      <c r="S5" s="3"/>
    </row>
    <row r="6" spans="1:19" ht="18.75" x14ac:dyDescent="0.3">
      <c r="B6" s="9" t="s">
        <v>0</v>
      </c>
      <c r="C6" s="7">
        <f>SUM(C2:C4)</f>
        <v>7324682</v>
      </c>
      <c r="D6" s="6"/>
      <c r="E6" s="6"/>
      <c r="F6" s="8"/>
      <c r="G6" s="6"/>
      <c r="H6" s="6"/>
      <c r="I6" s="7">
        <f>SUM(I2:I3)</f>
        <v>11444</v>
      </c>
      <c r="J6" s="6"/>
      <c r="K6" s="5">
        <f t="shared" ref="K6:P6" si="0">SUM(K2:K4)</f>
        <v>681371.21836799989</v>
      </c>
      <c r="L6" s="5">
        <f t="shared" si="0"/>
        <v>67504.269312000004</v>
      </c>
      <c r="M6" s="5">
        <f t="shared" si="0"/>
        <v>30939.456768000004</v>
      </c>
      <c r="N6" s="5">
        <f t="shared" si="0"/>
        <v>216013.66179839999</v>
      </c>
      <c r="O6" s="5">
        <f t="shared" si="0"/>
        <v>18282.406272</v>
      </c>
      <c r="P6" s="5">
        <f t="shared" si="0"/>
        <v>49221.863040000004</v>
      </c>
      <c r="Q6" s="116">
        <f>P6/$I6</f>
        <v>4.3011065221950373</v>
      </c>
      <c r="R6" s="5">
        <f>SUM(R2:R4)</f>
        <v>0</v>
      </c>
      <c r="S6" s="4">
        <f>R6/$I6</f>
        <v>0</v>
      </c>
    </row>
    <row r="7" spans="1:19" x14ac:dyDescent="0.25">
      <c r="Q7" s="3"/>
    </row>
    <row r="9" spans="1:19" x14ac:dyDescent="0.25">
      <c r="L9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E066BB9B0E045B4045F46E6DA4FBB" ma:contentTypeVersion="16" ma:contentTypeDescription="Create a new document." ma:contentTypeScope="" ma:versionID="d71f5a76c3b67a46638ecbc1fb404f89">
  <xsd:schema xmlns:xsd="http://www.w3.org/2001/XMLSchema" xmlns:xs="http://www.w3.org/2001/XMLSchema" xmlns:p="http://schemas.microsoft.com/office/2006/metadata/properties" xmlns:ns2="2c01e033-d34a-412d-840b-92cfd40fe4b5" xmlns:ns3="7db6dd1b-4037-48d3-9f1e-34c4ae4f10ec" targetNamespace="http://schemas.microsoft.com/office/2006/metadata/properties" ma:root="true" ma:fieldsID="6747a2d4d2df399f8fd6d80b07ff95a1" ns2:_="" ns3:_="">
    <xsd:import namespace="2c01e033-d34a-412d-840b-92cfd40fe4b5"/>
    <xsd:import namespace="7db6dd1b-4037-48d3-9f1e-34c4ae4f1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1e033-d34a-412d-840b-92cfd40fe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797c51-7666-4bce-a03c-ebbf52ba6c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6dd1b-4037-48d3-9f1e-34c4ae4f1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73c8de-52c5-40b3-81b9-a216da1cda62}" ma:internalName="TaxCatchAll" ma:showField="CatchAllData" ma:web="7db6dd1b-4037-48d3-9f1e-34c4ae4f1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b6dd1b-4037-48d3-9f1e-34c4ae4f10ec" xsi:nil="true"/>
    <lcf76f155ced4ddcb4097134ff3c332f xmlns="2c01e033-d34a-412d-840b-92cfd40fe4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1CD1C1-1392-4C72-95F4-E155C6DC8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D2859A-569E-4100-85EA-455A31484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1e033-d34a-412d-840b-92cfd40fe4b5"/>
    <ds:schemaRef ds:uri="7db6dd1b-4037-48d3-9f1e-34c4ae4f1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F90793-CF44-4498-BF9E-F76A42B08746}">
  <ds:schemaRefs>
    <ds:schemaRef ds:uri="http://schemas.microsoft.com/office/2006/metadata/properties"/>
    <ds:schemaRef ds:uri="http://schemas.microsoft.com/office/infopath/2007/PartnerControls"/>
    <ds:schemaRef ds:uri="7db6dd1b-4037-48d3-9f1e-34c4ae4f10ec"/>
    <ds:schemaRef ds:uri="2c01e033-d34a-412d-840b-92cfd40fe4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Útstreymisbókhald Emission 2021</vt:lpstr>
      <vt:lpstr>A.fjordur 2021</vt:lpstr>
      <vt:lpstr>Fossfjordur 2021</vt:lpstr>
      <vt:lpstr>P&amp;T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Baldvinsdóttir</dc:creator>
  <cp:lastModifiedBy>Silja Baldvinsdóttir</cp:lastModifiedBy>
  <dcterms:created xsi:type="dcterms:W3CDTF">2022-04-25T12:08:47Z</dcterms:created>
  <dcterms:modified xsi:type="dcterms:W3CDTF">2022-04-30T09:08:59Z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0x010100254E066BB9B0E045B4045F46E6DA4FBB</vt:lpwstr>
  </property>
  <property fmtid="{D5CDD505-2E9C-101B-9397-08002B2CF9AE}" pid="3" name="MediaServiceImageTags">
    <vt:lpwstr/>
  </property>
</Properties>
</file>